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L:\Hadjiyski_Chenevert_Lab\Team_Workspace\Rami_Humera\MFmouseData_forTibiaSegMS\"/>
    </mc:Choice>
  </mc:AlternateContent>
  <xr:revisionPtr revIDLastSave="0" documentId="13_ncr:1_{0442E2CA-1472-4D6C-A89E-5ED0419FCD1A}" xr6:coauthVersionLast="47" xr6:coauthVersionMax="47" xr10:uidLastSave="{00000000-0000-0000-0000-000000000000}"/>
  <bookViews>
    <workbookView xWindow="6969" yWindow="2297" windowWidth="19414" windowHeight="13397" tabRatio="720" xr2:uid="{149D2BE5-B2D8-4864-9A93-BD3D20BCCE89}"/>
  </bookViews>
  <sheets>
    <sheet name="Full_Training_UNET_EA1" sheetId="1" r:id="rId1"/>
    <sheet name="Full_Validation_all" sheetId="7" r:id="rId2"/>
    <sheet name="Full_Testing_all" sheetId="3" r:id="rId3"/>
    <sheet name="Split1_Train_Unet_EA1" sheetId="11" r:id="rId4"/>
    <sheet name="Split1_Validation_all" sheetId="4" r:id="rId5"/>
    <sheet name="Spli1_Test" sheetId="2" r:id="rId6"/>
    <sheet name="Split2_Train_UNET_EA1" sheetId="10" r:id="rId7"/>
    <sheet name="Split_2_Validation" sheetId="5" r:id="rId8"/>
    <sheet name="Split_2_Test " sheetId="6" r:id="rId9"/>
    <sheet name="Table16" sheetId="19" state="hidden" r:id="rId10"/>
    <sheet name="C1F3_Train_UNET_EA1" sheetId="17" r:id="rId11"/>
    <sheet name="C1F3_Valid" sheetId="9" r:id="rId12"/>
    <sheet name="C1F3_Test" sheetId="8" r:id="rId13"/>
  </sheets>
  <definedNames>
    <definedName name="ExternalData_1" localSheetId="9" hidden="1">Table16!$A$1:$G$5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2" i="11" l="1"/>
  <c r="P31" i="11"/>
  <c r="P28" i="11"/>
  <c r="G26" i="11"/>
  <c r="P26" i="11"/>
  <c r="P25" i="11"/>
  <c r="G32" i="11"/>
  <c r="G31" i="11"/>
  <c r="G28" i="11"/>
  <c r="G25" i="11"/>
  <c r="L21" i="11"/>
  <c r="K21" i="11"/>
  <c r="J21" i="11"/>
  <c r="I21" i="11"/>
  <c r="L20" i="17"/>
  <c r="L19" i="17"/>
  <c r="L16" i="17"/>
  <c r="L17" i="17" s="1"/>
  <c r="L14" i="17"/>
  <c r="L15" i="17" s="1"/>
  <c r="L13" i="17"/>
  <c r="O14" i="17" s="1"/>
  <c r="Q6" i="17"/>
  <c r="Q7" i="17"/>
  <c r="Q8" i="17"/>
  <c r="Q9" i="17"/>
  <c r="P6" i="17"/>
  <c r="P7" i="17"/>
  <c r="P8" i="17"/>
  <c r="P9" i="17"/>
  <c r="O6" i="17"/>
  <c r="O7" i="17"/>
  <c r="O8" i="17"/>
  <c r="O9" i="17"/>
  <c r="N6" i="17"/>
  <c r="N7" i="17"/>
  <c r="N8" i="17"/>
  <c r="N9" i="17"/>
  <c r="L8" i="2"/>
  <c r="F9" i="17"/>
  <c r="G9" i="17"/>
  <c r="H9" i="17" s="1"/>
  <c r="I9" i="17" s="1"/>
  <c r="Q26" i="10"/>
  <c r="S27" i="10" s="1"/>
  <c r="Q33" i="10"/>
  <c r="Q32" i="10"/>
  <c r="Q29" i="10"/>
  <c r="Q27" i="10"/>
  <c r="Q28" i="10" s="1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O17" i="17" l="1"/>
  <c r="O15" i="17"/>
  <c r="N14" i="17"/>
  <c r="N15" i="17" s="1"/>
  <c r="L18" i="17"/>
  <c r="G7" i="17"/>
  <c r="H7" i="17" s="1"/>
  <c r="G8" i="17"/>
  <c r="H8" i="17" s="1"/>
  <c r="G6" i="17"/>
  <c r="F7" i="17"/>
  <c r="F8" i="17"/>
  <c r="F6" i="17"/>
  <c r="J5" i="10"/>
  <c r="C13" i="9"/>
  <c r="T5" i="10"/>
  <c r="U5" i="10"/>
  <c r="V5" i="10" s="1"/>
  <c r="AD17" i="3"/>
  <c r="U21" i="7"/>
  <c r="U25" i="7"/>
  <c r="P27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6" i="11"/>
  <c r="T22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6" i="11"/>
  <c r="S22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6" i="11"/>
  <c r="R21" i="11"/>
  <c r="S21" i="11" s="1"/>
  <c r="T21" i="11" s="1"/>
  <c r="R22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6" i="11"/>
  <c r="Q21" i="11"/>
  <c r="Q22" i="11"/>
  <c r="N17" i="17" l="1"/>
  <c r="N18" i="17"/>
  <c r="O18" i="17"/>
  <c r="C19" i="17"/>
  <c r="C13" i="17"/>
  <c r="H6" i="17"/>
  <c r="C16" i="17" s="1"/>
  <c r="C18" i="17" s="1"/>
  <c r="C20" i="17"/>
  <c r="W5" i="10"/>
  <c r="I6" i="17"/>
  <c r="I8" i="17"/>
  <c r="I7" i="17"/>
  <c r="S26" i="11"/>
  <c r="S27" i="11" s="1"/>
  <c r="R26" i="11"/>
  <c r="R27" i="11" s="1"/>
  <c r="P30" i="11"/>
  <c r="P29" i="11"/>
  <c r="C17" i="17" l="1"/>
  <c r="C14" i="17"/>
  <c r="C15" i="17" s="1"/>
  <c r="E14" i="17"/>
  <c r="F14" i="17"/>
  <c r="S29" i="11"/>
  <c r="R29" i="11"/>
  <c r="S30" i="11"/>
  <c r="R30" i="11"/>
  <c r="F17" i="17" l="1"/>
  <c r="F18" i="17"/>
  <c r="E17" i="17"/>
  <c r="E18" i="17"/>
  <c r="F15" i="17"/>
  <c r="E15" i="17"/>
  <c r="X13" i="7"/>
  <c r="X14" i="7"/>
  <c r="W10" i="7"/>
  <c r="X10" i="7" s="1"/>
  <c r="W11" i="7"/>
  <c r="X11" i="7" s="1"/>
  <c r="W12" i="7"/>
  <c r="X12" i="7" s="1"/>
  <c r="W9" i="7"/>
  <c r="X9" i="7" s="1"/>
  <c r="V12" i="7" l="1"/>
  <c r="Y12" i="7" s="1"/>
  <c r="V11" i="7"/>
  <c r="Y11" i="7" s="1"/>
  <c r="V10" i="7"/>
  <c r="Y10" i="7" s="1"/>
  <c r="V9" i="7"/>
  <c r="V13" i="7"/>
  <c r="V14" i="7"/>
  <c r="W13" i="7"/>
  <c r="W14" i="7"/>
  <c r="Y13" i="7"/>
  <c r="Y14" i="7"/>
  <c r="U18" i="7"/>
  <c r="U24" i="7" l="1"/>
  <c r="Y9" i="7"/>
  <c r="U19" i="7" s="1"/>
  <c r="U20" i="7" s="1"/>
  <c r="X19" i="7"/>
  <c r="W19" i="7"/>
  <c r="X20" i="7"/>
  <c r="W20" i="7"/>
  <c r="H35" i="1" l="1"/>
  <c r="I35" i="1"/>
  <c r="J35" i="1"/>
  <c r="K35" i="1"/>
  <c r="P35" i="1"/>
  <c r="Q35" i="1"/>
  <c r="R35" i="1"/>
  <c r="S35" i="1"/>
  <c r="X35" i="1"/>
  <c r="Y35" i="1"/>
  <c r="Z35" i="1"/>
  <c r="AA35" i="1"/>
  <c r="AD22" i="11" l="1"/>
  <c r="AC22" i="11"/>
  <c r="AB22" i="11"/>
  <c r="AD21" i="11"/>
  <c r="AC21" i="11"/>
  <c r="AB21" i="11"/>
  <c r="J20" i="11"/>
  <c r="K20" i="11" s="1"/>
  <c r="I20" i="11"/>
  <c r="J19" i="11"/>
  <c r="K19" i="11" s="1"/>
  <c r="I19" i="11"/>
  <c r="J18" i="11"/>
  <c r="K18" i="11" s="1"/>
  <c r="I18" i="11"/>
  <c r="J17" i="11"/>
  <c r="K17" i="11" s="1"/>
  <c r="I17" i="11"/>
  <c r="J16" i="11"/>
  <c r="K16" i="11" s="1"/>
  <c r="I16" i="11"/>
  <c r="J15" i="11"/>
  <c r="K15" i="11" s="1"/>
  <c r="I15" i="11"/>
  <c r="J14" i="11"/>
  <c r="K14" i="11" s="1"/>
  <c r="I14" i="11"/>
  <c r="J13" i="11"/>
  <c r="K13" i="11" s="1"/>
  <c r="I13" i="11"/>
  <c r="J12" i="11"/>
  <c r="K12" i="11" s="1"/>
  <c r="I12" i="11"/>
  <c r="J11" i="11"/>
  <c r="K11" i="11" s="1"/>
  <c r="I11" i="11"/>
  <c r="J10" i="11"/>
  <c r="K10" i="11" s="1"/>
  <c r="I10" i="11"/>
  <c r="J9" i="11"/>
  <c r="K9" i="11" s="1"/>
  <c r="I9" i="11"/>
  <c r="J8" i="11"/>
  <c r="K8" i="11" s="1"/>
  <c r="I8" i="11"/>
  <c r="J7" i="11"/>
  <c r="K7" i="11" s="1"/>
  <c r="I7" i="11"/>
  <c r="J6" i="11"/>
  <c r="I6" i="11"/>
  <c r="L8" i="11" l="1"/>
  <c r="L9" i="11"/>
  <c r="L10" i="11"/>
  <c r="L11" i="11"/>
  <c r="L16" i="11"/>
  <c r="L17" i="11"/>
  <c r="L18" i="11"/>
  <c r="L19" i="11"/>
  <c r="L20" i="11"/>
  <c r="L7" i="11"/>
  <c r="L14" i="11"/>
  <c r="K6" i="11"/>
  <c r="L13" i="11"/>
  <c r="L15" i="11"/>
  <c r="L12" i="11"/>
  <c r="L6" i="11"/>
  <c r="G27" i="11" l="1"/>
  <c r="G30" i="11"/>
  <c r="G29" i="11"/>
  <c r="J26" i="11"/>
  <c r="I26" i="11"/>
  <c r="N9" i="7"/>
  <c r="F9" i="7"/>
  <c r="P9" i="1"/>
  <c r="G23" i="10"/>
  <c r="U21" i="10"/>
  <c r="V21" i="10"/>
  <c r="W21" i="10"/>
  <c r="K20" i="10"/>
  <c r="L20" i="10" s="1"/>
  <c r="J20" i="10"/>
  <c r="K19" i="10"/>
  <c r="L19" i="10" s="1"/>
  <c r="J19" i="10"/>
  <c r="K18" i="10"/>
  <c r="L18" i="10" s="1"/>
  <c r="J18" i="10"/>
  <c r="K17" i="10"/>
  <c r="L17" i="10" s="1"/>
  <c r="J17" i="10"/>
  <c r="K16" i="10"/>
  <c r="L16" i="10" s="1"/>
  <c r="J16" i="10"/>
  <c r="K15" i="10"/>
  <c r="L15" i="10" s="1"/>
  <c r="J15" i="10"/>
  <c r="K14" i="10"/>
  <c r="L14" i="10" s="1"/>
  <c r="J14" i="10"/>
  <c r="K13" i="10"/>
  <c r="L13" i="10" s="1"/>
  <c r="J13" i="10"/>
  <c r="K12" i="10"/>
  <c r="L12" i="10" s="1"/>
  <c r="J12" i="10"/>
  <c r="K11" i="10"/>
  <c r="L11" i="10" s="1"/>
  <c r="J11" i="10"/>
  <c r="K10" i="10"/>
  <c r="L10" i="10" s="1"/>
  <c r="J10" i="10"/>
  <c r="K9" i="10"/>
  <c r="L9" i="10" s="1"/>
  <c r="J9" i="10"/>
  <c r="K8" i="10"/>
  <c r="L8" i="10" s="1"/>
  <c r="J8" i="10"/>
  <c r="K7" i="10"/>
  <c r="L7" i="10" s="1"/>
  <c r="J7" i="10"/>
  <c r="K6" i="10"/>
  <c r="L6" i="10" s="1"/>
  <c r="J6" i="10"/>
  <c r="K5" i="10"/>
  <c r="G10" i="9"/>
  <c r="H10" i="9" s="1"/>
  <c r="F10" i="9"/>
  <c r="G9" i="9"/>
  <c r="H9" i="9" s="1"/>
  <c r="F9" i="9"/>
  <c r="G8" i="9"/>
  <c r="H8" i="9" s="1"/>
  <c r="F8" i="9"/>
  <c r="G7" i="9"/>
  <c r="H7" i="9" s="1"/>
  <c r="F7" i="9"/>
  <c r="G17" i="8"/>
  <c r="H17" i="8" s="1"/>
  <c r="F17" i="8"/>
  <c r="G16" i="8"/>
  <c r="H16" i="8" s="1"/>
  <c r="F16" i="8"/>
  <c r="G15" i="8"/>
  <c r="H15" i="8" s="1"/>
  <c r="I15" i="8" s="1"/>
  <c r="F15" i="8"/>
  <c r="G14" i="8"/>
  <c r="H14" i="8" s="1"/>
  <c r="F14" i="8"/>
  <c r="G13" i="8"/>
  <c r="H13" i="8" s="1"/>
  <c r="F13" i="8"/>
  <c r="G12" i="8"/>
  <c r="H12" i="8" s="1"/>
  <c r="F12" i="8"/>
  <c r="G11" i="8"/>
  <c r="H11" i="8" s="1"/>
  <c r="I11" i="8" s="1"/>
  <c r="F11" i="8"/>
  <c r="G10" i="8"/>
  <c r="H10" i="8" s="1"/>
  <c r="F10" i="8"/>
  <c r="G9" i="8"/>
  <c r="H9" i="8" s="1"/>
  <c r="F9" i="8"/>
  <c r="G8" i="8"/>
  <c r="H8" i="8" s="1"/>
  <c r="F8" i="8"/>
  <c r="G7" i="8"/>
  <c r="H7" i="8" s="1"/>
  <c r="F7" i="8"/>
  <c r="G6" i="8"/>
  <c r="H6" i="8" s="1"/>
  <c r="F6" i="8"/>
  <c r="G5" i="8"/>
  <c r="F5" i="8"/>
  <c r="O12" i="7"/>
  <c r="P12" i="7" s="1"/>
  <c r="N12" i="7"/>
  <c r="G12" i="7"/>
  <c r="H12" i="7" s="1"/>
  <c r="F12" i="7"/>
  <c r="O11" i="7"/>
  <c r="P11" i="7" s="1"/>
  <c r="N11" i="7"/>
  <c r="G11" i="7"/>
  <c r="H11" i="7" s="1"/>
  <c r="F11" i="7"/>
  <c r="O10" i="7"/>
  <c r="P10" i="7" s="1"/>
  <c r="N10" i="7"/>
  <c r="G10" i="7"/>
  <c r="H10" i="7" s="1"/>
  <c r="F10" i="7"/>
  <c r="O9" i="7"/>
  <c r="G9" i="7"/>
  <c r="H9" i="7" s="1"/>
  <c r="J17" i="6"/>
  <c r="K17" i="6" s="1"/>
  <c r="I17" i="6"/>
  <c r="J16" i="6"/>
  <c r="K16" i="6" s="1"/>
  <c r="I16" i="6"/>
  <c r="J15" i="6"/>
  <c r="K15" i="6" s="1"/>
  <c r="I15" i="6"/>
  <c r="J14" i="6"/>
  <c r="K14" i="6" s="1"/>
  <c r="I14" i="6"/>
  <c r="J13" i="6"/>
  <c r="K13" i="6" s="1"/>
  <c r="I13" i="6"/>
  <c r="J12" i="6"/>
  <c r="K12" i="6" s="1"/>
  <c r="I12" i="6"/>
  <c r="J11" i="6"/>
  <c r="K11" i="6" s="1"/>
  <c r="I11" i="6"/>
  <c r="J10" i="6"/>
  <c r="K10" i="6" s="1"/>
  <c r="I10" i="6"/>
  <c r="J9" i="6"/>
  <c r="K9" i="6" s="1"/>
  <c r="I9" i="6"/>
  <c r="J8" i="6"/>
  <c r="K8" i="6" s="1"/>
  <c r="I8" i="6"/>
  <c r="J7" i="6"/>
  <c r="K7" i="6" s="1"/>
  <c r="I7" i="6"/>
  <c r="J6" i="6"/>
  <c r="K6" i="6" s="1"/>
  <c r="I6" i="6"/>
  <c r="J5" i="6"/>
  <c r="I5" i="6"/>
  <c r="J8" i="5"/>
  <c r="K8" i="5" s="1"/>
  <c r="I8" i="5"/>
  <c r="J7" i="5"/>
  <c r="K7" i="5" s="1"/>
  <c r="I7" i="5"/>
  <c r="J6" i="5"/>
  <c r="K6" i="5" s="1"/>
  <c r="I6" i="5"/>
  <c r="J5" i="5"/>
  <c r="I5" i="5"/>
  <c r="I27" i="11" l="1"/>
  <c r="L5" i="10"/>
  <c r="H33" i="10"/>
  <c r="H32" i="10"/>
  <c r="D22" i="9"/>
  <c r="D16" i="9"/>
  <c r="G17" i="9" s="1"/>
  <c r="I8" i="9"/>
  <c r="I9" i="9"/>
  <c r="I10" i="9"/>
  <c r="L7" i="6"/>
  <c r="L9" i="6"/>
  <c r="L10" i="6"/>
  <c r="L13" i="6"/>
  <c r="L14" i="6"/>
  <c r="L17" i="6"/>
  <c r="L6" i="5"/>
  <c r="L7" i="5"/>
  <c r="L8" i="5"/>
  <c r="P9" i="7"/>
  <c r="D18" i="7"/>
  <c r="Q10" i="7"/>
  <c r="Q12" i="7"/>
  <c r="I7" i="8"/>
  <c r="M5" i="10"/>
  <c r="J27" i="11"/>
  <c r="I29" i="11"/>
  <c r="J29" i="11"/>
  <c r="J30" i="11"/>
  <c r="I30" i="11"/>
  <c r="I10" i="7"/>
  <c r="M20" i="10"/>
  <c r="M9" i="10"/>
  <c r="M7" i="10"/>
  <c r="M6" i="10"/>
  <c r="M15" i="10"/>
  <c r="M17" i="10"/>
  <c r="M14" i="10"/>
  <c r="M10" i="10"/>
  <c r="M12" i="10"/>
  <c r="M18" i="10"/>
  <c r="M13" i="10"/>
  <c r="M8" i="10"/>
  <c r="M16" i="10"/>
  <c r="M19" i="10"/>
  <c r="M11" i="10"/>
  <c r="H29" i="10"/>
  <c r="H26" i="10"/>
  <c r="I7" i="9"/>
  <c r="D19" i="9"/>
  <c r="D23" i="9"/>
  <c r="D31" i="8"/>
  <c r="D32" i="8"/>
  <c r="I9" i="8"/>
  <c r="I13" i="8"/>
  <c r="I17" i="8"/>
  <c r="I8" i="8"/>
  <c r="I12" i="8"/>
  <c r="I16" i="8"/>
  <c r="I6" i="8"/>
  <c r="I10" i="8"/>
  <c r="I14" i="8"/>
  <c r="D25" i="8"/>
  <c r="H5" i="8"/>
  <c r="Q11" i="7"/>
  <c r="L24" i="7"/>
  <c r="L25" i="7"/>
  <c r="I12" i="7"/>
  <c r="I11" i="7"/>
  <c r="D24" i="7"/>
  <c r="D21" i="7"/>
  <c r="I9" i="7"/>
  <c r="L21" i="7"/>
  <c r="Q9" i="7"/>
  <c r="L18" i="7"/>
  <c r="D25" i="7"/>
  <c r="G28" i="6"/>
  <c r="L15" i="6"/>
  <c r="L12" i="6"/>
  <c r="L11" i="6"/>
  <c r="L8" i="6"/>
  <c r="G27" i="6"/>
  <c r="L6" i="6"/>
  <c r="L16" i="6"/>
  <c r="K5" i="6"/>
  <c r="L5" i="6" s="1"/>
  <c r="G21" i="6"/>
  <c r="G18" i="5"/>
  <c r="G19" i="5"/>
  <c r="G12" i="5"/>
  <c r="K5" i="5"/>
  <c r="J13" i="4"/>
  <c r="K13" i="4" s="1"/>
  <c r="I13" i="4"/>
  <c r="J12" i="4"/>
  <c r="K12" i="4" s="1"/>
  <c r="I12" i="4"/>
  <c r="J11" i="4"/>
  <c r="K11" i="4" s="1"/>
  <c r="I11" i="4"/>
  <c r="J10" i="4"/>
  <c r="I10" i="4"/>
  <c r="W21" i="3"/>
  <c r="X21" i="3" s="1"/>
  <c r="V21" i="3"/>
  <c r="O21" i="3"/>
  <c r="P21" i="3" s="1"/>
  <c r="N21" i="3"/>
  <c r="G21" i="3"/>
  <c r="H21" i="3" s="1"/>
  <c r="F21" i="3"/>
  <c r="W20" i="3"/>
  <c r="X20" i="3" s="1"/>
  <c r="V20" i="3"/>
  <c r="O20" i="3"/>
  <c r="P20" i="3" s="1"/>
  <c r="N20" i="3"/>
  <c r="G20" i="3"/>
  <c r="H20" i="3" s="1"/>
  <c r="F20" i="3"/>
  <c r="W19" i="3"/>
  <c r="X19" i="3" s="1"/>
  <c r="V19" i="3"/>
  <c r="O19" i="3"/>
  <c r="P19" i="3" s="1"/>
  <c r="N19" i="3"/>
  <c r="G19" i="3"/>
  <c r="H19" i="3" s="1"/>
  <c r="F19" i="3"/>
  <c r="W18" i="3"/>
  <c r="X18" i="3" s="1"/>
  <c r="V18" i="3"/>
  <c r="O18" i="3"/>
  <c r="P18" i="3" s="1"/>
  <c r="N18" i="3"/>
  <c r="G18" i="3"/>
  <c r="H18" i="3" s="1"/>
  <c r="F18" i="3"/>
  <c r="W17" i="3"/>
  <c r="X17" i="3" s="1"/>
  <c r="V17" i="3"/>
  <c r="O17" i="3"/>
  <c r="P17" i="3" s="1"/>
  <c r="N17" i="3"/>
  <c r="G17" i="3"/>
  <c r="H17" i="3" s="1"/>
  <c r="F17" i="3"/>
  <c r="W16" i="3"/>
  <c r="X16" i="3" s="1"/>
  <c r="V16" i="3"/>
  <c r="O16" i="3"/>
  <c r="P16" i="3" s="1"/>
  <c r="N16" i="3"/>
  <c r="G16" i="3"/>
  <c r="H16" i="3" s="1"/>
  <c r="F16" i="3"/>
  <c r="W15" i="3"/>
  <c r="X15" i="3" s="1"/>
  <c r="V15" i="3"/>
  <c r="O15" i="3"/>
  <c r="P15" i="3" s="1"/>
  <c r="N15" i="3"/>
  <c r="G15" i="3"/>
  <c r="H15" i="3" s="1"/>
  <c r="F15" i="3"/>
  <c r="W14" i="3"/>
  <c r="X14" i="3" s="1"/>
  <c r="V14" i="3"/>
  <c r="O14" i="3"/>
  <c r="P14" i="3" s="1"/>
  <c r="N14" i="3"/>
  <c r="G14" i="3"/>
  <c r="H14" i="3" s="1"/>
  <c r="F14" i="3"/>
  <c r="W13" i="3"/>
  <c r="X13" i="3" s="1"/>
  <c r="V13" i="3"/>
  <c r="O13" i="3"/>
  <c r="P13" i="3" s="1"/>
  <c r="N13" i="3"/>
  <c r="G13" i="3"/>
  <c r="H13" i="3" s="1"/>
  <c r="F13" i="3"/>
  <c r="W12" i="3"/>
  <c r="X12" i="3" s="1"/>
  <c r="V12" i="3"/>
  <c r="O12" i="3"/>
  <c r="P12" i="3" s="1"/>
  <c r="N12" i="3"/>
  <c r="G12" i="3"/>
  <c r="H12" i="3" s="1"/>
  <c r="F12" i="3"/>
  <c r="W11" i="3"/>
  <c r="X11" i="3" s="1"/>
  <c r="V11" i="3"/>
  <c r="O11" i="3"/>
  <c r="P11" i="3" s="1"/>
  <c r="N11" i="3"/>
  <c r="G11" i="3"/>
  <c r="H11" i="3" s="1"/>
  <c r="F11" i="3"/>
  <c r="W10" i="3"/>
  <c r="X10" i="3" s="1"/>
  <c r="V10" i="3"/>
  <c r="O10" i="3"/>
  <c r="P10" i="3" s="1"/>
  <c r="N10" i="3"/>
  <c r="G10" i="3"/>
  <c r="H10" i="3" s="1"/>
  <c r="F10" i="3"/>
  <c r="W9" i="3"/>
  <c r="V9" i="3"/>
  <c r="O9" i="3"/>
  <c r="N9" i="3"/>
  <c r="G9" i="3"/>
  <c r="F9" i="3"/>
  <c r="J20" i="2"/>
  <c r="K20" i="2" s="1"/>
  <c r="I20" i="2"/>
  <c r="J19" i="2"/>
  <c r="K19" i="2" s="1"/>
  <c r="I19" i="2"/>
  <c r="J18" i="2"/>
  <c r="K18" i="2" s="1"/>
  <c r="I18" i="2"/>
  <c r="J17" i="2"/>
  <c r="K17" i="2" s="1"/>
  <c r="I17" i="2"/>
  <c r="J16" i="2"/>
  <c r="K16" i="2" s="1"/>
  <c r="I16" i="2"/>
  <c r="J15" i="2"/>
  <c r="K15" i="2" s="1"/>
  <c r="I15" i="2"/>
  <c r="J14" i="2"/>
  <c r="K14" i="2" s="1"/>
  <c r="I14" i="2"/>
  <c r="J13" i="2"/>
  <c r="K13" i="2" s="1"/>
  <c r="I13" i="2"/>
  <c r="J12" i="2"/>
  <c r="K12" i="2" s="1"/>
  <c r="I12" i="2"/>
  <c r="J11" i="2"/>
  <c r="K11" i="2" s="1"/>
  <c r="I11" i="2"/>
  <c r="J10" i="2"/>
  <c r="K10" i="2" s="1"/>
  <c r="I10" i="2"/>
  <c r="J9" i="2"/>
  <c r="K9" i="2" s="1"/>
  <c r="I9" i="2"/>
  <c r="J8" i="2"/>
  <c r="I8" i="2"/>
  <c r="G24" i="2" s="1"/>
  <c r="F17" i="9" l="1"/>
  <c r="F18" i="9" s="1"/>
  <c r="D17" i="9"/>
  <c r="D18" i="9" s="1"/>
  <c r="G18" i="9" s="1"/>
  <c r="L18" i="2"/>
  <c r="U23" i="7"/>
  <c r="U22" i="7"/>
  <c r="I10" i="3"/>
  <c r="Q11" i="3"/>
  <c r="Y13" i="3"/>
  <c r="I15" i="3"/>
  <c r="I19" i="3"/>
  <c r="Q20" i="3"/>
  <c r="I11" i="3"/>
  <c r="Q16" i="3"/>
  <c r="Q12" i="3"/>
  <c r="Q10" i="3"/>
  <c r="Y15" i="3"/>
  <c r="Y19" i="3"/>
  <c r="Q18" i="3"/>
  <c r="Q14" i="3"/>
  <c r="Y11" i="3"/>
  <c r="I17" i="3"/>
  <c r="Y10" i="3"/>
  <c r="I12" i="3"/>
  <c r="Q13" i="3"/>
  <c r="Y14" i="3"/>
  <c r="I16" i="3"/>
  <c r="Q17" i="3"/>
  <c r="Y18" i="3"/>
  <c r="I20" i="3"/>
  <c r="Q21" i="3"/>
  <c r="T32" i="3"/>
  <c r="Y12" i="3"/>
  <c r="I14" i="3"/>
  <c r="Q15" i="3"/>
  <c r="Y16" i="3"/>
  <c r="I18" i="3"/>
  <c r="Q19" i="3"/>
  <c r="I21" i="3"/>
  <c r="Y17" i="3"/>
  <c r="Y21" i="3"/>
  <c r="Y20" i="3"/>
  <c r="L33" i="3"/>
  <c r="L32" i="3"/>
  <c r="L26" i="3"/>
  <c r="N27" i="3" s="1"/>
  <c r="P9" i="3"/>
  <c r="Q9" i="3" s="1"/>
  <c r="D26" i="3"/>
  <c r="G27" i="3" s="1"/>
  <c r="T33" i="3"/>
  <c r="D33" i="3"/>
  <c r="D32" i="3"/>
  <c r="I13" i="3"/>
  <c r="L19" i="7"/>
  <c r="L20" i="7" s="1"/>
  <c r="H27" i="10"/>
  <c r="H28" i="10" s="1"/>
  <c r="T27" i="10"/>
  <c r="J27" i="10"/>
  <c r="K27" i="10"/>
  <c r="H31" i="10"/>
  <c r="H30" i="10"/>
  <c r="D20" i="9"/>
  <c r="D21" i="9"/>
  <c r="D28" i="8"/>
  <c r="I5" i="8"/>
  <c r="D26" i="8" s="1"/>
  <c r="D27" i="8" s="1"/>
  <c r="G26" i="8"/>
  <c r="F26" i="8"/>
  <c r="D19" i="7"/>
  <c r="D20" i="7" s="1"/>
  <c r="N19" i="7"/>
  <c r="N20" i="7" s="1"/>
  <c r="O19" i="7"/>
  <c r="O20" i="7" s="1"/>
  <c r="G19" i="7"/>
  <c r="F19" i="7"/>
  <c r="L23" i="7"/>
  <c r="L22" i="7"/>
  <c r="D23" i="7"/>
  <c r="D22" i="7"/>
  <c r="G22" i="6"/>
  <c r="G23" i="6" s="1"/>
  <c r="G24" i="6"/>
  <c r="G25" i="6" s="1"/>
  <c r="J22" i="6"/>
  <c r="I22" i="6"/>
  <c r="I23" i="6" s="1"/>
  <c r="G15" i="5"/>
  <c r="L5" i="5"/>
  <c r="G13" i="5" s="1"/>
  <c r="G14" i="5" s="1"/>
  <c r="J13" i="5"/>
  <c r="I13" i="5"/>
  <c r="L12" i="4"/>
  <c r="L13" i="4"/>
  <c r="G23" i="4"/>
  <c r="L11" i="4"/>
  <c r="G24" i="4"/>
  <c r="K10" i="4"/>
  <c r="L10" i="4" s="1"/>
  <c r="G17" i="4"/>
  <c r="L11" i="2"/>
  <c r="L15" i="2"/>
  <c r="L12" i="2"/>
  <c r="L16" i="2"/>
  <c r="L20" i="2"/>
  <c r="L10" i="2"/>
  <c r="L13" i="2"/>
  <c r="L14" i="2"/>
  <c r="L19" i="2"/>
  <c r="G30" i="2"/>
  <c r="G31" i="2"/>
  <c r="L17" i="2"/>
  <c r="L9" i="2"/>
  <c r="K8" i="2"/>
  <c r="T26" i="3"/>
  <c r="H9" i="3"/>
  <c r="X9" i="3"/>
  <c r="G27" i="2"/>
  <c r="S28" i="10" l="1"/>
  <c r="X22" i="7"/>
  <c r="W22" i="7"/>
  <c r="X23" i="7"/>
  <c r="W23" i="7"/>
  <c r="L27" i="3"/>
  <c r="L28" i="3" s="1"/>
  <c r="N28" i="3" s="1"/>
  <c r="O27" i="3"/>
  <c r="L29" i="3"/>
  <c r="L31" i="3" s="1"/>
  <c r="F27" i="3"/>
  <c r="J28" i="10"/>
  <c r="K28" i="10"/>
  <c r="T28" i="10"/>
  <c r="Q31" i="10"/>
  <c r="S31" i="10" s="1"/>
  <c r="Q30" i="10"/>
  <c r="K31" i="10"/>
  <c r="J31" i="10"/>
  <c r="K30" i="10"/>
  <c r="J30" i="10"/>
  <c r="O22" i="7"/>
  <c r="N22" i="7"/>
  <c r="O23" i="7"/>
  <c r="N23" i="7"/>
  <c r="G20" i="7"/>
  <c r="F20" i="7"/>
  <c r="F23" i="7"/>
  <c r="G23" i="7"/>
  <c r="F22" i="7"/>
  <c r="G22" i="7"/>
  <c r="G21" i="9"/>
  <c r="F21" i="9"/>
  <c r="G20" i="9"/>
  <c r="F20" i="9"/>
  <c r="F27" i="8"/>
  <c r="G27" i="8"/>
  <c r="D30" i="8"/>
  <c r="D29" i="8"/>
  <c r="J23" i="6"/>
  <c r="G26" i="6"/>
  <c r="J26" i="6" s="1"/>
  <c r="J25" i="6"/>
  <c r="I25" i="6"/>
  <c r="I14" i="5"/>
  <c r="J14" i="5"/>
  <c r="G17" i="5"/>
  <c r="G16" i="5"/>
  <c r="G20" i="4"/>
  <c r="G22" i="4" s="1"/>
  <c r="G18" i="4"/>
  <c r="G19" i="4" s="1"/>
  <c r="J18" i="4"/>
  <c r="I18" i="4"/>
  <c r="I19" i="4" s="1"/>
  <c r="G25" i="2"/>
  <c r="G26" i="2" s="1"/>
  <c r="T29" i="3"/>
  <c r="Y9" i="3"/>
  <c r="T27" i="3" s="1"/>
  <c r="T28" i="3" s="1"/>
  <c r="W27" i="3"/>
  <c r="V27" i="3"/>
  <c r="D29" i="3"/>
  <c r="I9" i="3"/>
  <c r="D27" i="3" s="1"/>
  <c r="D28" i="3" s="1"/>
  <c r="J25" i="2"/>
  <c r="I25" i="2"/>
  <c r="G29" i="2"/>
  <c r="G28" i="2"/>
  <c r="I26" i="2" l="1"/>
  <c r="O28" i="3"/>
  <c r="L30" i="3"/>
  <c r="N30" i="3" s="1"/>
  <c r="T31" i="10"/>
  <c r="S30" i="10"/>
  <c r="T30" i="10"/>
  <c r="F29" i="8"/>
  <c r="G29" i="8"/>
  <c r="G30" i="8"/>
  <c r="F30" i="8"/>
  <c r="I26" i="6"/>
  <c r="J16" i="5"/>
  <c r="I16" i="5"/>
  <c r="J17" i="5"/>
  <c r="I17" i="5"/>
  <c r="G21" i="4"/>
  <c r="I21" i="4" s="1"/>
  <c r="J19" i="4"/>
  <c r="I22" i="4"/>
  <c r="J22" i="4"/>
  <c r="J26" i="2"/>
  <c r="G28" i="3"/>
  <c r="F28" i="3"/>
  <c r="D31" i="3"/>
  <c r="D30" i="3"/>
  <c r="O30" i="3"/>
  <c r="T31" i="3"/>
  <c r="T30" i="3"/>
  <c r="O31" i="3"/>
  <c r="N31" i="3"/>
  <c r="W28" i="3"/>
  <c r="V28" i="3"/>
  <c r="J29" i="2"/>
  <c r="I29" i="2"/>
  <c r="J28" i="2"/>
  <c r="I28" i="2"/>
  <c r="J21" i="4" l="1"/>
  <c r="F30" i="3"/>
  <c r="G30" i="3"/>
  <c r="V31" i="3"/>
  <c r="W31" i="3"/>
  <c r="G31" i="3"/>
  <c r="F31" i="3"/>
  <c r="V30" i="3"/>
  <c r="W30" i="3"/>
  <c r="Q9" i="1" l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P10" i="1"/>
  <c r="P11" i="1"/>
  <c r="P12" i="1"/>
  <c r="P13" i="1"/>
  <c r="P14" i="1"/>
  <c r="P15" i="1"/>
  <c r="P16" i="1"/>
  <c r="I9" i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H9" i="1"/>
  <c r="H10" i="1"/>
  <c r="H11" i="1"/>
  <c r="H12" i="1"/>
  <c r="H13" i="1"/>
  <c r="H14" i="1"/>
  <c r="H15" i="1"/>
  <c r="H16" i="1"/>
  <c r="H39" i="1"/>
  <c r="I39" i="1"/>
  <c r="J39" i="1" s="1"/>
  <c r="P39" i="1"/>
  <c r="Q39" i="1"/>
  <c r="R39" i="1" s="1"/>
  <c r="H38" i="1"/>
  <c r="I38" i="1"/>
  <c r="J38" i="1" s="1"/>
  <c r="K38" i="1" s="1"/>
  <c r="P38" i="1"/>
  <c r="Q38" i="1"/>
  <c r="R38" i="1" s="1"/>
  <c r="H34" i="1"/>
  <c r="I34" i="1"/>
  <c r="J34" i="1" s="1"/>
  <c r="P34" i="1"/>
  <c r="Q34" i="1"/>
  <c r="R34" i="1" s="1"/>
  <c r="H36" i="1"/>
  <c r="I36" i="1"/>
  <c r="J36" i="1" s="1"/>
  <c r="P36" i="1"/>
  <c r="Q36" i="1"/>
  <c r="R36" i="1" s="1"/>
  <c r="H37" i="1"/>
  <c r="I37" i="1"/>
  <c r="J37" i="1" s="1"/>
  <c r="P37" i="1"/>
  <c r="Q37" i="1"/>
  <c r="R37" i="1" s="1"/>
  <c r="H40" i="1"/>
  <c r="I40" i="1"/>
  <c r="J40" i="1" s="1"/>
  <c r="P40" i="1"/>
  <c r="Q40" i="1"/>
  <c r="R40" i="1" s="1"/>
  <c r="H31" i="1"/>
  <c r="I31" i="1"/>
  <c r="J31" i="1" s="1"/>
  <c r="P31" i="1"/>
  <c r="Q31" i="1"/>
  <c r="R31" i="1" s="1"/>
  <c r="H32" i="1"/>
  <c r="I32" i="1"/>
  <c r="J32" i="1" s="1"/>
  <c r="P32" i="1"/>
  <c r="Q32" i="1"/>
  <c r="R32" i="1" s="1"/>
  <c r="H29" i="1"/>
  <c r="I29" i="1"/>
  <c r="J29" i="1" s="1"/>
  <c r="P29" i="1"/>
  <c r="Q29" i="1"/>
  <c r="R29" i="1" s="1"/>
  <c r="H30" i="1"/>
  <c r="I30" i="1"/>
  <c r="J30" i="1" s="1"/>
  <c r="P30" i="1"/>
  <c r="Q30" i="1"/>
  <c r="R30" i="1" s="1"/>
  <c r="H33" i="1"/>
  <c r="I33" i="1"/>
  <c r="J33" i="1" s="1"/>
  <c r="P33" i="1"/>
  <c r="Q33" i="1"/>
  <c r="R33" i="1" s="1"/>
  <c r="H28" i="1"/>
  <c r="I28" i="1"/>
  <c r="J28" i="1" s="1"/>
  <c r="P28" i="1"/>
  <c r="Q28" i="1"/>
  <c r="R28" i="1" s="1"/>
  <c r="H25" i="1"/>
  <c r="I25" i="1"/>
  <c r="J25" i="1" s="1"/>
  <c r="P25" i="1"/>
  <c r="Q25" i="1"/>
  <c r="R25" i="1" s="1"/>
  <c r="H26" i="1"/>
  <c r="I26" i="1"/>
  <c r="J26" i="1" s="1"/>
  <c r="P26" i="1"/>
  <c r="Q26" i="1"/>
  <c r="R26" i="1" s="1"/>
  <c r="H27" i="1"/>
  <c r="I27" i="1"/>
  <c r="J27" i="1" s="1"/>
  <c r="P27" i="1"/>
  <c r="Q27" i="1"/>
  <c r="R27" i="1" s="1"/>
  <c r="H24" i="1"/>
  <c r="I24" i="1"/>
  <c r="J24" i="1" s="1"/>
  <c r="P24" i="1"/>
  <c r="Q24" i="1"/>
  <c r="R24" i="1" s="1"/>
  <c r="H18" i="1"/>
  <c r="I18" i="1"/>
  <c r="J18" i="1" s="1"/>
  <c r="P18" i="1"/>
  <c r="Q18" i="1"/>
  <c r="R18" i="1" s="1"/>
  <c r="H17" i="1"/>
  <c r="I17" i="1"/>
  <c r="J17" i="1" s="1"/>
  <c r="H19" i="1"/>
  <c r="I19" i="1"/>
  <c r="J19" i="1" s="1"/>
  <c r="H20" i="1"/>
  <c r="I20" i="1"/>
  <c r="J20" i="1" s="1"/>
  <c r="H21" i="1"/>
  <c r="I21" i="1"/>
  <c r="J21" i="1" s="1"/>
  <c r="H22" i="1"/>
  <c r="I22" i="1"/>
  <c r="J22" i="1" s="1"/>
  <c r="H23" i="1"/>
  <c r="I23" i="1"/>
  <c r="J23" i="1" s="1"/>
  <c r="P22" i="1"/>
  <c r="Q22" i="1"/>
  <c r="R22" i="1" s="1"/>
  <c r="P23" i="1"/>
  <c r="Q23" i="1"/>
  <c r="R23" i="1" s="1"/>
  <c r="S13" i="1" l="1"/>
  <c r="S26" i="1"/>
  <c r="S30" i="1"/>
  <c r="S40" i="1"/>
  <c r="S38" i="1"/>
  <c r="K30" i="1"/>
  <c r="K40" i="1"/>
  <c r="S39" i="1"/>
  <c r="J9" i="1"/>
  <c r="K9" i="1" s="1"/>
  <c r="F52" i="1"/>
  <c r="R9" i="1"/>
  <c r="S9" i="1" s="1"/>
  <c r="K16" i="1"/>
  <c r="K13" i="1"/>
  <c r="F45" i="1"/>
  <c r="K14" i="1"/>
  <c r="K12" i="1"/>
  <c r="K15" i="1"/>
  <c r="K11" i="1"/>
  <c r="K10" i="1"/>
  <c r="S27" i="1"/>
  <c r="S25" i="1"/>
  <c r="S33" i="1"/>
  <c r="S29" i="1"/>
  <c r="S31" i="1"/>
  <c r="S37" i="1"/>
  <c r="S34" i="1"/>
  <c r="F51" i="1"/>
  <c r="S11" i="1"/>
  <c r="S12" i="1"/>
  <c r="S10" i="1"/>
  <c r="S24" i="1"/>
  <c r="S28" i="1"/>
  <c r="S32" i="1"/>
  <c r="S36" i="1"/>
  <c r="S16" i="1"/>
  <c r="S15" i="1"/>
  <c r="S14" i="1"/>
  <c r="K39" i="1"/>
  <c r="K33" i="1"/>
  <c r="K31" i="1"/>
  <c r="K36" i="1"/>
  <c r="K37" i="1"/>
  <c r="K34" i="1"/>
  <c r="K18" i="1"/>
  <c r="K25" i="1"/>
  <c r="K29" i="1"/>
  <c r="K28" i="1"/>
  <c r="K32" i="1"/>
  <c r="K24" i="1"/>
  <c r="S22" i="1"/>
  <c r="K20" i="1"/>
  <c r="K26" i="1"/>
  <c r="K23" i="1"/>
  <c r="K19" i="1"/>
  <c r="K27" i="1"/>
  <c r="S23" i="1"/>
  <c r="K22" i="1"/>
  <c r="K17" i="1"/>
  <c r="S18" i="1"/>
  <c r="K21" i="1"/>
  <c r="F48" i="1" l="1"/>
  <c r="F46" i="1"/>
  <c r="Q17" i="1"/>
  <c r="Q19" i="1"/>
  <c r="R19" i="1" s="1"/>
  <c r="Q20" i="1"/>
  <c r="R20" i="1" s="1"/>
  <c r="Q21" i="1"/>
  <c r="R21" i="1" s="1"/>
  <c r="P17" i="1"/>
  <c r="P19" i="1"/>
  <c r="P20" i="1"/>
  <c r="P21" i="1"/>
  <c r="N51" i="1" l="1"/>
  <c r="R17" i="1"/>
  <c r="N48" i="1" s="1"/>
  <c r="N52" i="1"/>
  <c r="N45" i="1"/>
  <c r="S21" i="1"/>
  <c r="S20" i="1"/>
  <c r="S19" i="1"/>
  <c r="S17" i="1" l="1"/>
  <c r="N46" i="1" s="1"/>
  <c r="F47" i="1" l="1"/>
  <c r="H46" i="1"/>
  <c r="I46" i="1"/>
  <c r="N49" i="1"/>
  <c r="N50" i="1"/>
  <c r="F50" i="1"/>
  <c r="F49" i="1"/>
  <c r="Q46" i="1"/>
  <c r="P46" i="1"/>
  <c r="I49" i="1" l="1"/>
  <c r="N47" i="1"/>
  <c r="Q47" i="1" s="1"/>
  <c r="P49" i="1"/>
  <c r="H47" i="1"/>
  <c r="I47" i="1"/>
  <c r="Q49" i="1"/>
  <c r="I50" i="1"/>
  <c r="H50" i="1"/>
  <c r="P50" i="1"/>
  <c r="Q50" i="1"/>
  <c r="H49" i="1"/>
  <c r="P47" i="1" l="1"/>
</calcChain>
</file>

<file path=xl/sharedStrings.xml><?xml version="1.0" encoding="utf-8"?>
<sst xmlns="http://schemas.openxmlformats.org/spreadsheetml/2006/main" count="1184" uniqueCount="133">
  <si>
    <t>Column1</t>
  </si>
  <si>
    <t>Y</t>
  </si>
  <si>
    <t>Incl T2 TvsRT</t>
  </si>
  <si>
    <t>Ave T2 TvsRT</t>
  </si>
  <si>
    <t>Diff T2 TvsRT</t>
  </si>
  <si>
    <t>V T2 TvsRT</t>
  </si>
  <si>
    <t>V/M^2 T2 TvsRT</t>
  </si>
  <si>
    <t>VOI#1</t>
  </si>
  <si>
    <t>N TRT Pairs:</t>
  </si>
  <si>
    <t>wCV^2 =</t>
  </si>
  <si>
    <t>wCVpct =</t>
  </si>
  <si>
    <t>MeanVar=</t>
  </si>
  <si>
    <t>RC=</t>
  </si>
  <si>
    <t>Mean Test &amp; ReTest=</t>
  </si>
  <si>
    <t>ReTest - Test (Bias)=</t>
  </si>
  <si>
    <t>dimless</t>
  </si>
  <si>
    <t>%</t>
  </si>
  <si>
    <t>wSD</t>
  </si>
  <si>
    <t>VarLwrBdFactor</t>
  </si>
  <si>
    <t>VarUprBdFactor</t>
  </si>
  <si>
    <t>(N)/CHISQ0.975</t>
  </si>
  <si>
    <t>(N)/CHISQ0.025</t>
  </si>
  <si>
    <t>&lt;--wCV[LwrCI, UprCI]%</t>
  </si>
  <si>
    <t>**********</t>
  </si>
  <si>
    <t>&lt;--wSD[LwrCI, UprCI]Hz</t>
  </si>
  <si>
    <t>&lt;--RC[LwrCI, UprCI]Hz</t>
  </si>
  <si>
    <t>&lt;--wSD[LwrCI, UprCI]ppm</t>
  </si>
  <si>
    <t>&lt;--RC[LwrCI, UprCI]ppm</t>
  </si>
  <si>
    <t>MFJK1C1F1'</t>
  </si>
  <si>
    <t>MFJK1C1F5'</t>
  </si>
  <si>
    <t>MFJK1C2F5'</t>
  </si>
  <si>
    <t>MFJK1C3F1'</t>
  </si>
  <si>
    <t>MFJK1C3F2'</t>
  </si>
  <si>
    <t>MFJK1C4F5'</t>
  </si>
  <si>
    <t>UNET T2 Test vs ReTest</t>
  </si>
  <si>
    <t xml:space="preserve">  References</t>
  </si>
  <si>
    <t>(1) Breast cancer ADC histogram repeatability, Tomo 2020  Equation (1) for wCV</t>
  </si>
  <si>
    <t xml:space="preserve">(3) QIBA repeatability, JMRI 2019 QIBA;   </t>
  </si>
  <si>
    <t>Table 2: Step 2 --&gt; wCV^2 = variance/sq(mean) for each of N subject</t>
  </si>
  <si>
    <t xml:space="preserve">(2) QIBA DWI profile Appendix C ---&gt; mean = (T+RT)/2; variance = (T-RT)^2/2 </t>
  </si>
  <si>
    <t>for within-subject Coeficient of Variation wCV^2</t>
  </si>
  <si>
    <t>Column9</t>
  </si>
  <si>
    <t>Column17</t>
  </si>
  <si>
    <t>Column25</t>
  </si>
  <si>
    <t>mm^3</t>
  </si>
  <si>
    <t>&lt;--wSD[LwrCI, UprCI]mm^3</t>
  </si>
  <si>
    <t>&lt;--RC[LwrCI, UprCI]mm^3</t>
  </si>
  <si>
    <t>T1 ReTest</t>
  </si>
  <si>
    <t>T1 Test</t>
  </si>
  <si>
    <t>MFJK1C8F4'</t>
  </si>
  <si>
    <t>MFJK1C8F3'</t>
  </si>
  <si>
    <t>MFJK1C8F2'</t>
  </si>
  <si>
    <t>MFJK1C4F3'</t>
  </si>
  <si>
    <t>MFJK1C4F1'</t>
  </si>
  <si>
    <t>MFJK1C3F5'</t>
  </si>
  <si>
    <t>MFJK1C3F4'</t>
  </si>
  <si>
    <t>MFJK1C3F3'</t>
  </si>
  <si>
    <t>MFJK1C1F4'</t>
  </si>
  <si>
    <t>MFJK1C1F3'</t>
  </si>
  <si>
    <t>MFJK1C1F2'</t>
  </si>
  <si>
    <t>SubID</t>
  </si>
  <si>
    <t>MFJK1C8F5'</t>
  </si>
  <si>
    <t>MFJK1C2F2'</t>
  </si>
  <si>
    <t>MFJK1C2F4'</t>
  </si>
  <si>
    <t>MFJK1C8F1'</t>
  </si>
  <si>
    <t>MFJKC2F2'</t>
  </si>
  <si>
    <t>MFJKC2F4'</t>
  </si>
  <si>
    <t>MFJKC8F1'</t>
  </si>
  <si>
    <t>SubID_Split2</t>
  </si>
  <si>
    <t>SubID_Split1</t>
  </si>
  <si>
    <t>SubID_Split22</t>
  </si>
  <si>
    <t>UNET Train Split 1 i.e. computer</t>
  </si>
  <si>
    <t>UNET Validation on Full training data</t>
  </si>
  <si>
    <t>UNET Test vs ReTest  Recorded volumes</t>
  </si>
  <si>
    <t>Expert1  Test vs ReTest  Recorded volumes</t>
  </si>
  <si>
    <t>Column2</t>
  </si>
  <si>
    <t>Column3</t>
  </si>
  <si>
    <t>Column4</t>
  </si>
  <si>
    <t>Column5</t>
  </si>
  <si>
    <t>Column6</t>
  </si>
  <si>
    <t>Column7</t>
  </si>
  <si>
    <t>Expert2  Test vs ReTest  Recorded volumes</t>
  </si>
  <si>
    <t>MICE_ID</t>
  </si>
  <si>
    <t>Test_Volume</t>
  </si>
  <si>
    <t>ReTest_Volume</t>
  </si>
  <si>
    <t>Average_Volume</t>
  </si>
  <si>
    <t>Difference_Volume</t>
  </si>
  <si>
    <t>Test_Volume2</t>
  </si>
  <si>
    <t>Average_Volume2</t>
  </si>
  <si>
    <t>Difference_Volume2</t>
  </si>
  <si>
    <t>Inclusion Flag</t>
  </si>
  <si>
    <t>Pairwise_wCV   V/M^2</t>
  </si>
  <si>
    <t>Pair_Variance V is sq(Diff)/2</t>
  </si>
  <si>
    <t>Column8</t>
  </si>
  <si>
    <t>ReTest_Volume3</t>
  </si>
  <si>
    <t>Pair_Variance V is sq(Diff)/27</t>
  </si>
  <si>
    <t>ReTest_Volume2</t>
  </si>
  <si>
    <t>Inclusion Flag2</t>
  </si>
  <si>
    <t>Pairwise_wCV2   is V/M^2</t>
  </si>
  <si>
    <t>Pairwise_wCV   is V/M^2</t>
  </si>
  <si>
    <t>Expert 1 validation Full training data</t>
  </si>
  <si>
    <t>Test_Volume3</t>
  </si>
  <si>
    <t>Inclusion Flag3</t>
  </si>
  <si>
    <t>Average_Volume3</t>
  </si>
  <si>
    <t>Difference_Volume3</t>
  </si>
  <si>
    <t>Pair_Variance V3 is sq(Diff)/2</t>
  </si>
  <si>
    <t>Pairwise_wCV3   is V/M^2</t>
  </si>
  <si>
    <t>Column10</t>
  </si>
  <si>
    <t>Column11</t>
  </si>
  <si>
    <t>Column12</t>
  </si>
  <si>
    <t>Column13</t>
  </si>
  <si>
    <t>Column14</t>
  </si>
  <si>
    <t>Column15</t>
  </si>
  <si>
    <t>Column16</t>
  </si>
  <si>
    <t>Column18</t>
  </si>
  <si>
    <t>Pair_Variance V is sq(Diff)/22</t>
  </si>
  <si>
    <t>UNET/Computer Test  Retest Analysis Summary</t>
  </si>
  <si>
    <t>REMOVE (AFTER checking in Full_validation)</t>
  </si>
  <si>
    <t>Average_Vol3</t>
  </si>
  <si>
    <t>Done</t>
  </si>
  <si>
    <t>Pair_Variance V2 is sq(Diff)/2</t>
  </si>
  <si>
    <t>Pairwise_wCV3  is V/M^2</t>
  </si>
  <si>
    <t>Pair_Variance2 V is sq(Diff)/2</t>
  </si>
  <si>
    <t>Expert1  Test vs ReTest  Recorded volumes are same in both files</t>
  </si>
  <si>
    <t xml:space="preserve">Single Mouse Training i.e. C1F3 UNET </t>
  </si>
  <si>
    <t>Single Mouse Train by Expert 1</t>
  </si>
  <si>
    <t xml:space="preserve">The EA2 volume for the C1F5 are : </t>
  </si>
  <si>
    <t>Mon 12/12/2022</t>
  </si>
  <si>
    <t xml:space="preserve">Expert1 Training on C1F3 </t>
  </si>
  <si>
    <t>Mouse_ID</t>
  </si>
  <si>
    <t>Pairwise_wCV2   is V2/M^2</t>
  </si>
  <si>
    <t>EA1</t>
  </si>
  <si>
    <t xml:space="preserve">Expert2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</si>
</sst>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0000"/>
    <numFmt numFmtId="165" formatCode="0.000000000"/>
  </numFmts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9C5700"/>
      <name val="Calibri"/>
      <family val="2"/>
      <scheme val="minor"/>
    </font>
    <font>
      <sz val="11"/>
      <color rgb="FFFFC00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6100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3" borderId="0" applyNumberFormat="0" applyBorder="0" applyAlignment="0" applyProtection="0"/>
    <xf numFmtId="0" fontId="8" fillId="4" borderId="0" applyNumberFormat="0" applyBorder="0" applyAlignment="0" applyProtection="0"/>
  </cellStyleXfs>
  <cellXfs count="59">
    <xf numFmtId="0" fontId="0" fillId="0" borderId="0" xfId="0"/>
    <xf numFmtId="0" fontId="2" fillId="0" borderId="0" xfId="1" applyFill="1" applyBorder="1"/>
    <xf numFmtId="0" fontId="3" fillId="0" borderId="0" xfId="2" applyFill="1" applyBorder="1"/>
    <xf numFmtId="0" fontId="3" fillId="0" borderId="0" xfId="2" applyFill="1"/>
    <xf numFmtId="0" fontId="6" fillId="0" borderId="0" xfId="3" applyFont="1" applyFill="1"/>
    <xf numFmtId="0" fontId="0" fillId="5" borderId="0" xfId="0" applyFill="1"/>
    <xf numFmtId="0" fontId="5" fillId="3" borderId="0" xfId="3"/>
    <xf numFmtId="0" fontId="8" fillId="4" borderId="0" xfId="4"/>
    <xf numFmtId="0" fontId="6" fillId="0" borderId="0" xfId="2" applyFont="1" applyFill="1"/>
    <xf numFmtId="0" fontId="10" fillId="0" borderId="0" xfId="2" applyFont="1" applyFill="1"/>
    <xf numFmtId="0" fontId="11" fillId="0" borderId="0" xfId="2" applyFont="1" applyFill="1"/>
    <xf numFmtId="0" fontId="2" fillId="0" borderId="0" xfId="1" applyFill="1"/>
    <xf numFmtId="0" fontId="8" fillId="0" borderId="0" xfId="4" applyFill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0" fontId="10" fillId="0" borderId="0" xfId="0" applyFont="1" applyFill="1"/>
    <xf numFmtId="164" fontId="10" fillId="0" borderId="0" xfId="0" applyNumberFormat="1" applyFont="1" applyFill="1"/>
    <xf numFmtId="0" fontId="10" fillId="0" borderId="0" xfId="0" applyFont="1" applyFill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right"/>
    </xf>
    <xf numFmtId="0" fontId="0" fillId="0" borderId="0" xfId="0" applyFill="1" applyAlignment="1">
      <alignment horizontal="left"/>
    </xf>
    <xf numFmtId="0" fontId="0" fillId="0" borderId="5" xfId="0" applyFill="1" applyBorder="1"/>
    <xf numFmtId="0" fontId="0" fillId="0" borderId="0" xfId="0" applyFill="1" applyAlignment="1">
      <alignment horizontal="right"/>
    </xf>
    <xf numFmtId="164" fontId="0" fillId="0" borderId="0" xfId="0" applyNumberFormat="1" applyFill="1"/>
    <xf numFmtId="0" fontId="0" fillId="0" borderId="6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7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5" fillId="0" borderId="0" xfId="3" applyFill="1"/>
    <xf numFmtId="0" fontId="12" fillId="0" borderId="0" xfId="2" applyFont="1" applyFill="1"/>
    <xf numFmtId="0" fontId="13" fillId="0" borderId="0" xfId="2" applyFont="1" applyFill="1"/>
    <xf numFmtId="164" fontId="16" fillId="0" borderId="0" xfId="0" applyNumberFormat="1" applyFont="1" applyFill="1"/>
    <xf numFmtId="0" fontId="2" fillId="0" borderId="0" xfId="1" applyFill="1" applyAlignment="1">
      <alignment horizontal="center"/>
    </xf>
    <xf numFmtId="164" fontId="15" fillId="0" borderId="0" xfId="1" applyNumberFormat="1" applyFont="1" applyFill="1"/>
    <xf numFmtId="164" fontId="14" fillId="0" borderId="0" xfId="0" applyNumberFormat="1" applyFont="1" applyFill="1"/>
    <xf numFmtId="0" fontId="14" fillId="0" borderId="0" xfId="0" applyFont="1" applyFill="1"/>
    <xf numFmtId="0" fontId="17" fillId="0" borderId="0" xfId="0" applyFont="1" applyFill="1"/>
    <xf numFmtId="0" fontId="7" fillId="0" borderId="0" xfId="0" applyFont="1" applyFill="1"/>
    <xf numFmtId="164" fontId="4" fillId="0" borderId="0" xfId="0" applyNumberFormat="1" applyFont="1" applyFill="1"/>
    <xf numFmtId="164" fontId="0" fillId="0" borderId="0" xfId="0" applyNumberFormat="1" applyFill="1" applyAlignment="1">
      <alignment horizontal="center"/>
    </xf>
    <xf numFmtId="165" fontId="0" fillId="0" borderId="0" xfId="0" applyNumberFormat="1" applyFill="1"/>
    <xf numFmtId="0" fontId="6" fillId="0" borderId="0" xfId="0" applyFont="1" applyFill="1"/>
    <xf numFmtId="0" fontId="2" fillId="0" borderId="9" xfId="1" applyFill="1" applyBorder="1" applyAlignment="1">
      <alignment horizontal="center"/>
    </xf>
    <xf numFmtId="0" fontId="2" fillId="0" borderId="10" xfId="1" applyFill="1" applyBorder="1"/>
    <xf numFmtId="0" fontId="2" fillId="0" borderId="10" xfId="1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0" fillId="0" borderId="10" xfId="0" applyFill="1" applyBorder="1" applyAlignment="1">
      <alignment horizontal="center"/>
    </xf>
    <xf numFmtId="0" fontId="7" fillId="0" borderId="0" xfId="1" applyFont="1" applyFill="1"/>
    <xf numFmtId="0" fontId="9" fillId="0" borderId="11" xfId="0" applyFont="1" applyFill="1" applyBorder="1" applyAlignment="1">
      <alignment wrapText="1"/>
    </xf>
    <xf numFmtId="164" fontId="6" fillId="0" borderId="0" xfId="0" applyNumberFormat="1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6" fillId="0" borderId="0" xfId="0" applyFont="1" applyFill="1" applyAlignment="1">
      <alignment horizontal="left"/>
    </xf>
  </cellXfs>
  <cellStyles count="5">
    <cellStyle name="Bad" xfId="4" builtinId="27"/>
    <cellStyle name="Good" xfId="1" builtinId="26"/>
    <cellStyle name="Neutral" xfId="2" builtinId="28"/>
    <cellStyle name="Neutral 2" xfId="3" xr:uid="{12C24B4B-98A2-4233-97E4-B9095F69E0AD}"/>
    <cellStyle name="Normal" xfId="0" builtinId="0"/>
  </cellStyles>
  <dxfs count="283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auto="1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164" formatCode="0.00000000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64" formatCode="0.00000000"/>
      <fill>
        <patternFill patternType="none">
          <fgColor indexed="64"/>
          <bgColor auto="1"/>
        </patternFill>
      </fill>
    </dxf>
    <dxf>
      <numFmt numFmtId="164" formatCode="0.00000000"/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4" formatCode="0.00000000"/>
      <fill>
        <patternFill patternType="none">
          <bgColor auto="1"/>
        </patternFill>
      </fill>
    </dxf>
    <dxf>
      <numFmt numFmtId="164" formatCode="0.00000000"/>
      <fill>
        <patternFill patternType="none">
          <bgColor auto="1"/>
        </patternFill>
      </fill>
    </dxf>
    <dxf>
      <numFmt numFmtId="164" formatCode="0.00000000"/>
      <fill>
        <patternFill patternType="none">
          <bgColor auto="1"/>
        </patternFill>
      </fill>
    </dxf>
    <dxf>
      <numFmt numFmtId="164" formatCode="0.0000000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4" formatCode="0.00000000"/>
      <fill>
        <patternFill patternType="none">
          <fgColor indexed="64"/>
          <bgColor auto="1"/>
        </patternFill>
      </fill>
    </dxf>
    <dxf>
      <numFmt numFmtId="164" formatCode="0.000000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64" formatCode="0.00000000"/>
      <fill>
        <patternFill patternType="none">
          <fgColor indexed="64"/>
          <bgColor auto="1"/>
        </patternFill>
      </fill>
    </dxf>
    <dxf>
      <numFmt numFmtId="164" formatCode="0.00000000"/>
      <fill>
        <patternFill patternType="none">
          <fgColor indexed="64"/>
          <bgColor auto="1"/>
        </patternFill>
      </fill>
    </dxf>
    <dxf>
      <numFmt numFmtId="164" formatCode="0.00000000"/>
      <fill>
        <patternFill patternType="none">
          <fgColor indexed="64"/>
          <bgColor auto="1"/>
        </patternFill>
      </fill>
    </dxf>
    <dxf>
      <numFmt numFmtId="164" formatCode="0.0000000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0.00000000"/>
      <fill>
        <patternFill patternType="none">
          <fgColor indexed="64"/>
          <bgColor auto="1"/>
        </patternFill>
      </fill>
    </dxf>
    <dxf>
      <numFmt numFmtId="164" formatCode="0.00000000"/>
      <fill>
        <patternFill patternType="none">
          <fgColor indexed="64"/>
          <bgColor auto="1"/>
        </patternFill>
      </fill>
    </dxf>
    <dxf>
      <numFmt numFmtId="164" formatCode="0.00000000"/>
      <fill>
        <patternFill patternType="none">
          <fgColor indexed="64"/>
          <bgColor auto="1"/>
        </patternFill>
      </fill>
    </dxf>
    <dxf>
      <numFmt numFmtId="164" formatCode="0.000000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numFmt numFmtId="0" formatCode="General"/>
    </dxf>
  </dxfs>
  <tableStyles count="3" defaultTableStyle="TableStyleMedium2" defaultPivotStyle="PivotTable Style 2">
    <tableStyle name="PivotTable Style 1" table="0" count="0" xr9:uid="{03AC64C8-EC58-44DB-8412-922FAC7C0E2A}"/>
    <tableStyle name="PivotTable Style 2" table="0" count="0" xr9:uid="{65D20C60-7860-4FFE-A2CE-71ABD1A56E5B}"/>
    <tableStyle name="PivotTable Style 3" table="0" count="0" xr9:uid="{F7603751-83C2-446B-A703-D56440AC5444}"/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317117-1482-42D4-A4BD-305D01CE8831}" name="Table1" displayName="Table1" ref="D8:AB42" totalsRowShown="0" headerRowDxfId="254" dataDxfId="253">
  <autoFilter ref="D8:AB42" xr:uid="{A6317117-1482-42D4-A4BD-305D01CE8831}"/>
  <tableColumns count="25">
    <tableColumn id="1" xr3:uid="{64527976-EB27-4E2F-A177-6FC830E39A22}" name="MICE_ID" dataDxfId="279"/>
    <tableColumn id="83" xr3:uid="{B5CB1EFC-4560-4268-BFE4-0B1FCCEC22D5}" name="Test_Volume" dataDxfId="278">
      <calculatedColumnFormula>#REF!</calculatedColumnFormula>
    </tableColumn>
    <tableColumn id="84" xr3:uid="{D403BB31-819E-41ED-ADB8-5ECB208786E5}" name="ReTest_Volume" dataDxfId="277">
      <calculatedColumnFormula>#REF!</calculatedColumnFormula>
    </tableColumn>
    <tableColumn id="85" xr3:uid="{0CE25AF0-5BD9-42B9-BD8E-CC0412B10A52}" name="Inclusion Flag" dataDxfId="276"/>
    <tableColumn id="86" xr3:uid="{A50ABCF6-587C-4E01-867D-4B9AC045F2C5}" name="Average_Volume" dataDxfId="275">
      <calculatedColumnFormula>IF(Table1[[#This Row],[Inclusion Flag]]="Y",(Table1[[#This Row],[Test_Volume]]+Table1[[#This Row],[ReTest_Volume]])/2,"")</calculatedColumnFormula>
    </tableColumn>
    <tableColumn id="87" xr3:uid="{CEF1B548-1F53-4B93-A2F1-8CFCB0B4E76D}" name="Difference_Volume" dataDxfId="274">
      <calculatedColumnFormula>IF(Table1[[#This Row],[Inclusion Flag]]="Y",(Table1[[#This Row],[ReTest_Volume]]-Table1[[#This Row],[Test_Volume]]),"")</calculatedColumnFormula>
    </tableColumn>
    <tableColumn id="88" xr3:uid="{EC393BF1-EE30-45D2-91F4-E9AC3117A903}" name="Pair_Variance V is sq(Diff)/2" dataDxfId="273">
      <calculatedColumnFormula>IF(Table1[[#This Row],[Inclusion Flag]]="Y",(Table1[[#This Row],[Difference_Volume]]^2)/2,"")</calculatedColumnFormula>
    </tableColumn>
    <tableColumn id="89" xr3:uid="{5E03F772-ACBF-4274-87AB-C05E8C43E427}" name="Pairwise_wCV   V/M^2" dataDxfId="272">
      <calculatedColumnFormula>IF(Table1[[#This Row],[Inclusion Flag]]="Y",Table1[[#This Row],[Pair_Variance V is sq(Diff)/2]]/(Table1[[#This Row],[Average_Volume]]^2),"")</calculatedColumnFormula>
    </tableColumn>
    <tableColumn id="90" xr3:uid="{1ADFCE2A-E0C3-4AD7-87B8-39A954AF01C8}" name="Column8" dataDxfId="271"/>
    <tableColumn id="91" xr3:uid="{1478849D-2588-4CFF-A8AC-F923EC966EBF}" name="Test_Volume2" dataDxfId="270">
      <calculatedColumnFormula>#REF!</calculatedColumnFormula>
    </tableColumn>
    <tableColumn id="92" xr3:uid="{FFF0C188-C934-40B6-800E-F9E5011468C5}" name="ReTest_Volume2" dataDxfId="269">
      <calculatedColumnFormula>#REF!</calculatedColumnFormula>
    </tableColumn>
    <tableColumn id="93" xr3:uid="{A2AF64EB-DA42-48B6-9F8A-D55CE41BB18E}" name="Inclusion Flag2" dataDxfId="268"/>
    <tableColumn id="94" xr3:uid="{9B2480D7-830A-4B66-A9B8-7A551CC06722}" name="Average_Volume2" dataDxfId="267">
      <calculatedColumnFormula>IF(Table1[[#This Row],[Inclusion Flag2]]="Y",(Table1[[#This Row],[Test_Volume2]]+Table1[[#This Row],[ReTest_Volume2]])/2,"")</calculatedColumnFormula>
    </tableColumn>
    <tableColumn id="95" xr3:uid="{B3E2DC31-0783-4488-8B26-5F42555C01F0}" name="Difference_Volume2" dataDxfId="266">
      <calculatedColumnFormula>IF(Table1[[#This Row],[Inclusion Flag2]]="Y",Table1[[#This Row],[ReTest_Volume2]]-Table1[[#This Row],[Test_Volume2]],"")</calculatedColumnFormula>
    </tableColumn>
    <tableColumn id="96" xr3:uid="{11AA2F9F-9CB9-40EF-B348-F47D7E630992}" name="Pair_Variance V2 is sq(Diff)/2" dataDxfId="265">
      <calculatedColumnFormula>IF(Table1[[#This Row],[Inclusion Flag2]]="Y",(Table1[[#This Row],[Difference_Volume2]]^2)/2,"")</calculatedColumnFormula>
    </tableColumn>
    <tableColumn id="97" xr3:uid="{54E4964C-0507-4421-B710-F40051882072}" name="Pairwise_wCV2   is V2/M^2" dataDxfId="264">
      <calculatedColumnFormula>IF(Table1[[#This Row],[Inclusion Flag2]]="Y",Table1[[#This Row],[Pair_Variance V2 is sq(Diff)/2]]/(Table1[[#This Row],[Average_Volume2]]^2),"")</calculatedColumnFormula>
    </tableColumn>
    <tableColumn id="98" xr3:uid="{8A894A5E-6F13-4E41-B77B-E62628A02E87}" name="Column17" dataDxfId="263"/>
    <tableColumn id="99" xr3:uid="{5F255A79-E88A-476A-82A8-5A38F00A6ACF}" name="Column1" dataDxfId="262">
      <calculatedColumnFormula>#REF!</calculatedColumnFormula>
    </tableColumn>
    <tableColumn id="100" xr3:uid="{0748B055-FF3F-4CD9-AEDC-EE0DCDEC6F8C}" name="Column2" dataDxfId="261">
      <calculatedColumnFormula>#REF!</calculatedColumnFormula>
    </tableColumn>
    <tableColumn id="101" xr3:uid="{BDF2F7C5-4DFC-47BF-ADFD-0451876688D7}" name="Column3" dataDxfId="260"/>
    <tableColumn id="102" xr3:uid="{6EC93E75-C5F9-42A8-8BDB-FDAA6A00A26D}" name="Column4" dataDxfId="259">
      <calculatedColumnFormula>IF(Table1[[#This Row],[Column3]]="Y",(Table1[[#This Row],[Column1]]+Table1[[#This Row],[Column2]])/2,"")</calculatedColumnFormula>
    </tableColumn>
    <tableColumn id="103" xr3:uid="{0F2D43D8-03ED-433E-9A8C-A3F4E07F60CD}" name="Column5" dataDxfId="258">
      <calculatedColumnFormula>IF(Table1[[#This Row],[Column3]]="Y",Table1[[#This Row],[Column2]]-Table1[[#This Row],[Column1]],"")</calculatedColumnFormula>
    </tableColumn>
    <tableColumn id="104" xr3:uid="{0EE3A481-2715-4CDA-BFA2-3D64B6C890F8}" name="Column6" dataDxfId="257">
      <calculatedColumnFormula>IF(Table1[[#This Row],[Column3]]="Y",(Table1[[#This Row],[Column5]]^2)/2,"")</calculatedColumnFormula>
    </tableColumn>
    <tableColumn id="105" xr3:uid="{6F41A436-B37D-4BD3-A51A-FE77494BBE69}" name="Column7" dataDxfId="256">
      <calculatedColumnFormula>IF(Table1[[#This Row],[Column3]]="Y",Table1[[#This Row],[Column6]]/(Table1[[#This Row],[Column4]]^2),"")</calculatedColumnFormula>
    </tableColumn>
    <tableColumn id="106" xr3:uid="{8D0EDC7F-130B-48AC-9057-BB35F814C2F9}" name="Column25" dataDxfId="25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31B34E1-F2A9-4661-8E7F-91006C2038C6}" name="Table16_2" displayName="Table16_2" ref="A1:G5" totalsRowShown="0">
  <autoFilter ref="A1:G5" xr:uid="{031B34E1-F2A9-4661-8E7F-91006C2038C6}"/>
  <tableColumns count="7">
    <tableColumn id="1" xr3:uid="{B3F5BE3C-43EE-4D04-A73B-B24F06F47DC5}" name="Test_Volume2"/>
    <tableColumn id="2" xr3:uid="{42F05FB9-8E8F-4A8E-8EA0-D3E0988DB173}" name="ReTest_Volume2"/>
    <tableColumn id="3" xr3:uid="{2D11C485-59B9-44D0-9994-CCB69DDBF4D8}" name="Inclusion Flag2" dataDxfId="282"/>
    <tableColumn id="4" xr3:uid="{2E1BD7EE-07BF-4B77-838A-48E129EBDC5E}" name="Average_Volume2"/>
    <tableColumn id="5" xr3:uid="{1B236496-60DB-498E-B61F-B90076A1EC42}" name="Difference_Volume2"/>
    <tableColumn id="6" xr3:uid="{25AEC9BB-3C3E-4EAA-8726-31FD4FC7EA89}" name="Pair_Variance V is sq(Diff)/27"/>
    <tableColumn id="7" xr3:uid="{8DDB79BB-7950-4C39-8456-B2D079677DB4}" name="Pairwise_wCV2   is V/M^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43C836-FBEF-4243-A4AB-02FEEBAEC8CD}" name="Table14" displayName="Table14" ref="A5:I9" totalsRowShown="0" headerRowDxfId="64" dataDxfId="63">
  <autoFilter ref="A5:I9" xr:uid="{A543C836-FBEF-4243-A4AB-02FEEBAEC8CD}"/>
  <tableColumns count="9">
    <tableColumn id="11" xr3:uid="{CA742BE6-F2B7-4D3D-8C78-CE0F786691BB}" name="Column18" dataDxfId="73"/>
    <tableColumn id="12" xr3:uid="{9398ED6B-16DF-44B9-B97C-1695BFACC9C5}" name="SubID" dataDxfId="72"/>
    <tableColumn id="13" xr3:uid="{34E8D54E-E562-4524-824F-A3FDFAC74913}" name="Test_Volume" dataDxfId="71"/>
    <tableColumn id="14" xr3:uid="{1956141D-0290-4492-B552-A7540A724AF0}" name="ReTest_Volume" dataDxfId="70"/>
    <tableColumn id="15" xr3:uid="{987BEEA5-F1D2-411D-9824-BB765125533C}" name="Inclusion Flag" dataDxfId="69"/>
    <tableColumn id="16" xr3:uid="{2F8A787C-0C11-40ED-84A0-2D1BC5F2CBC3}" name="Average_Volume" dataDxfId="68">
      <calculatedColumnFormula>(Table14[[#This Row],[Test_Volume]]+Table14[[#This Row],[ReTest_Volume]])/2</calculatedColumnFormula>
    </tableColumn>
    <tableColumn id="17" xr3:uid="{4B946998-74A7-428B-AA15-1CB281FCCE06}" name="Difference_Volume" dataDxfId="67">
      <calculatedColumnFormula>Table14[[#This Row],[Test_Volume]]-Table14[[#This Row],[ReTest_Volume]]</calculatedColumnFormula>
    </tableColumn>
    <tableColumn id="18" xr3:uid="{33651E2F-D162-430C-8685-70B09011477F}" name="Pair_Variance V is sq(Diff)/22" dataDxfId="66">
      <calculatedColumnFormula>(Table14[[#This Row],[Difference_Volume]]^2)/2</calculatedColumnFormula>
    </tableColumn>
    <tableColumn id="19" xr3:uid="{9D8BDC8A-DD82-4F22-BD51-0D1B6092072B}" name="Pairwise_wCV2   is V/M^2" dataDxfId="65">
      <calculatedColumnFormula>Table14[[#This Row],[Pair_Variance V is sq(Diff)/22]]/(Table14[[#This Row],[Average_Volume]]^2)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9E18F16-5037-4F6B-93CC-F76BBE9EF6D4}" name="Table16" displayName="Table16" ref="K5:Q9" totalsRowShown="0" headerRowDxfId="55" dataDxfId="54" headerRowBorderDxfId="281" tableBorderDxfId="280">
  <autoFilter ref="K5:Q9" xr:uid="{A9E18F16-5037-4F6B-93CC-F76BBE9EF6D4}"/>
  <tableColumns count="7">
    <tableColumn id="1" xr3:uid="{569BE492-3A57-4DF8-96B5-8F0B7876C4DB}" name="Test_Volume2" dataDxfId="62"/>
    <tableColumn id="2" xr3:uid="{C61C1AF5-C4B4-4342-9E1D-EB96D6E05238}" name="ReTest_Volume2" dataDxfId="61"/>
    <tableColumn id="3" xr3:uid="{1B1BB4B0-AE11-45A3-BFCC-3D79B6D0CECD}" name="Inclusion Flag2" dataDxfId="60"/>
    <tableColumn id="4" xr3:uid="{EE250C3B-08E9-4E49-81D5-B56ABB1502C2}" name="Average_Volume2" dataDxfId="59">
      <calculatedColumnFormula>(Table16[[#This Row],[Test_Volume2]]+Table16[[#This Row],[ReTest_Volume2]])/2</calculatedColumnFormula>
    </tableColumn>
    <tableColumn id="5" xr3:uid="{A21CF4ED-BADD-4A17-A036-BE6F5C85BD8A}" name="Difference_Volume2" dataDxfId="58">
      <calculatedColumnFormula>(Table16[[#This Row],[ReTest_Volume2]]-Table16[[#This Row],[Test_Volume2]])</calculatedColumnFormula>
    </tableColumn>
    <tableColumn id="6" xr3:uid="{E90696F2-3EB3-4EF1-85BD-00DD576EBA56}" name="Pair_Variance V is sq(Diff)/2" dataDxfId="57">
      <calculatedColumnFormula>(Table16[[#This Row],[Difference_Volume2]]^2)/2</calculatedColumnFormula>
    </tableColumn>
    <tableColumn id="7" xr3:uid="{825AD66D-E0E4-4F21-8351-432788CD2C1A}" name="Pairwise_wCV2   is V/M^2" dataDxfId="56">
      <calculatedColumnFormula>Table16[[#This Row],[Pair_Variance V is sq(Diff)/2]]/(Table16[[#This Row],[Average_Volume2]]^2)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BA4D477-837A-4BE4-990E-61242558E6BA}" name="Table1367410" displayName="Table1367410" ref="B6:Z11" totalsRowShown="0" headerRowDxfId="28" dataDxfId="27">
  <autoFilter ref="B6:Z11" xr:uid="{F6131DE7-DC4D-4231-A9F7-D06394A117C9}"/>
  <tableColumns count="25">
    <tableColumn id="1" xr3:uid="{BEFDF8EE-B98A-4018-A4A0-F96E6731840F}" name="SubID" dataDxfId="53"/>
    <tableColumn id="83" xr3:uid="{3E3AF560-9B79-470F-8C07-661F6F2C253F}" name="T1 Test" dataDxfId="52">
      <calculatedColumnFormula>#REF!</calculatedColumnFormula>
    </tableColumn>
    <tableColumn id="84" xr3:uid="{E592E7A3-6DDD-4DFF-9179-EDD096B9713E}" name="T1 ReTest" dataDxfId="51">
      <calculatedColumnFormula>#REF!</calculatedColumnFormula>
    </tableColumn>
    <tableColumn id="85" xr3:uid="{341DF58A-8013-4963-9E7A-A61BB23E8D4F}" name="Incl T2 TvsRT" dataDxfId="50"/>
    <tableColumn id="86" xr3:uid="{EC921C63-E487-4FF3-A9BF-37D308120E9B}" name="Ave T2 TvsRT" dataDxfId="49">
      <calculatedColumnFormula>IF(Table1367410[[#This Row],[Incl T2 TvsRT]]="Y",(Table1367410[[#This Row],[T1 Test]]+Table1367410[[#This Row],[T1 ReTest]])/2,"")</calculatedColumnFormula>
    </tableColumn>
    <tableColumn id="87" xr3:uid="{670C39F1-F7DC-4418-8302-F146BCE133B0}" name="Diff T2 TvsRT" dataDxfId="48">
      <calculatedColumnFormula>IF(Table1367410[[#This Row],[Incl T2 TvsRT]]="Y",(Table1367410[[#This Row],[T1 ReTest]]-Table1367410[[#This Row],[T1 Test]]),"")</calculatedColumnFormula>
    </tableColumn>
    <tableColumn id="88" xr3:uid="{F59B307A-7C07-4220-9318-2313D236C843}" name="V T2 TvsRT" dataDxfId="47">
      <calculatedColumnFormula>IF(Table1367410[[#This Row],[Incl T2 TvsRT]]="Y",(Table1367410[[#This Row],[Diff T2 TvsRT]]^2)/2,"")</calculatedColumnFormula>
    </tableColumn>
    <tableColumn id="89" xr3:uid="{CAE36B1E-3661-4DF3-8726-55B80C2B5BA3}" name="V/M^2 T2 TvsRT" dataDxfId="46">
      <calculatedColumnFormula>IF(Table1367410[[#This Row],[Incl T2 TvsRT]]="Y",Table1367410[[#This Row],[V T2 TvsRT]]/(Table1367410[[#This Row],[Ave T2 TvsRT]]^2),"")</calculatedColumnFormula>
    </tableColumn>
    <tableColumn id="90" xr3:uid="{7778D3A0-6A2E-4BF6-859E-CBDB85AD5209}" name="Column9" dataDxfId="45"/>
    <tableColumn id="91" xr3:uid="{E22786B3-9AD8-470E-A4FA-5CB71EC6ED35}" name="Column1" dataDxfId="44"/>
    <tableColumn id="92" xr3:uid="{38A0B19A-CB1E-4D5F-A81A-EAEF36256259}" name="Column2" dataDxfId="43"/>
    <tableColumn id="93" xr3:uid="{1844F634-3785-468D-980F-E9340829C676}" name="Column3" dataDxfId="42"/>
    <tableColumn id="94" xr3:uid="{D9543C69-A934-449B-9FEF-9FBC4F41CCC5}" name="Column4" dataDxfId="41"/>
    <tableColumn id="95" xr3:uid="{D98A4099-D736-4011-AABA-F6D1CDFB39E1}" name="Column5" dataDxfId="40"/>
    <tableColumn id="96" xr3:uid="{221269CC-284D-4204-82AA-27FFEF45A489}" name="Column6" dataDxfId="39"/>
    <tableColumn id="97" xr3:uid="{D292884A-0C92-4C3F-B8A9-AD27F47EEEC9}" name="Column7" dataDxfId="38"/>
    <tableColumn id="98" xr3:uid="{0694D183-9C1B-4F52-9424-84CC35F06B16}" name="Column8" dataDxfId="37"/>
    <tableColumn id="99" xr3:uid="{B8FE59E5-97CE-4D17-8A34-270BBF4A6AE3}" name="Column10" dataDxfId="36"/>
    <tableColumn id="100" xr3:uid="{78840BA9-8BBC-40A0-90BD-82238E022BE2}" name="Column11" dataDxfId="35"/>
    <tableColumn id="101" xr3:uid="{BA84E9CE-7B76-4624-A024-A3C38D9317BA}" name="Column12" dataDxfId="34"/>
    <tableColumn id="102" xr3:uid="{9876AAB6-DDAF-4E13-B3FC-B1C857CBDC00}" name="Column13" dataDxfId="33"/>
    <tableColumn id="103" xr3:uid="{EA93ADB5-0301-40A7-821C-7CF6DCC418AD}" name="Column14" dataDxfId="32"/>
    <tableColumn id="104" xr3:uid="{66F3F47E-6CC0-470E-A3A5-ED8775F094FC}" name="Column15" dataDxfId="31"/>
    <tableColumn id="105" xr3:uid="{E1F8128D-610A-452E-8A7B-1872784AF41C}" name="Column16" dataDxfId="30">
      <calculatedColumnFormula>IF(Table1367410[[#This Row],[Column12]]="Y",Table1367410[[#This Row],[Column15]]/(Table1367410[[#This Row],[Column13]]^2),"")</calculatedColumnFormula>
    </tableColumn>
    <tableColumn id="106" xr3:uid="{B98D759E-BFE1-42C7-B0F2-35985ADC5884}" name="Column25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EA923F0-7897-4B73-8B18-89D47E1CE718}" name="Table159" displayName="Table159" ref="B4:Z20" totalsRowShown="0" headerRowDxfId="1" dataDxfId="0">
  <autoFilter ref="B4:Z20" xr:uid="{7B4FB719-45B0-47C3-A4CF-63FD1FE1DC7A}"/>
  <tableColumns count="25">
    <tableColumn id="1" xr3:uid="{E4AE1DAB-1BAF-4855-AF48-E3109B20BA34}" name="Mouse_ID" dataDxfId="26"/>
    <tableColumn id="83" xr3:uid="{38F66DE9-ADC5-43AE-A2AA-B8BDAE7106CA}" name="Test_Volume" dataDxfId="25">
      <calculatedColumnFormula>#REF!</calculatedColumnFormula>
    </tableColumn>
    <tableColumn id="84" xr3:uid="{6D255BCC-FE6F-43E4-9BE3-145073BF8803}" name="ReTest_Volume" dataDxfId="24">
      <calculatedColumnFormula>#REF!</calculatedColumnFormula>
    </tableColumn>
    <tableColumn id="85" xr3:uid="{70AAEE64-EDD2-4E35-BA62-2E0B625A2690}" name="Inclusion Flag" dataDxfId="23"/>
    <tableColumn id="86" xr3:uid="{EEA0FDB8-22E7-4B73-90A7-E47208FA9F53}" name="Average_Volume" dataDxfId="22">
      <calculatedColumnFormula>IF(Table159[[#This Row],[Inclusion Flag]]="Y",(Table159[[#This Row],[Test_Volume]]+Table159[[#This Row],[ReTest_Volume]])/2,"")</calculatedColumnFormula>
    </tableColumn>
    <tableColumn id="87" xr3:uid="{D011B560-C013-43B1-BFF1-7F2DB2E002A0}" name="Difference_Volume" dataDxfId="21">
      <calculatedColumnFormula>IF(Table159[[#This Row],[Inclusion Flag]]="Y",(Table159[[#This Row],[ReTest_Volume]]-Table159[[#This Row],[Test_Volume]]),"")</calculatedColumnFormula>
    </tableColumn>
    <tableColumn id="88" xr3:uid="{ECFFCD18-162B-43C6-B398-B2FBE7C45D75}" name="Pair_Variance V is sq(Diff)/22" dataDxfId="20">
      <calculatedColumnFormula>IF(Table159[[#This Row],[Inclusion Flag]]="Y",(Table159[[#This Row],[Difference_Volume]]^2)/2,"")</calculatedColumnFormula>
    </tableColumn>
    <tableColumn id="89" xr3:uid="{FF15747A-F939-48B9-8792-868D3E13E032}" name="Pairwise_wCV2   is V/M^2" dataDxfId="19">
      <calculatedColumnFormula>IF(Table159[[#This Row],[Inclusion Flag]]="Y",Table159[[#This Row],[Pair_Variance V is sq(Diff)/22]]/(Table159[[#This Row],[Average_Volume]]^2),"")</calculatedColumnFormula>
    </tableColumn>
    <tableColumn id="90" xr3:uid="{6FACC67D-3CE3-44C6-B0A1-2ACC734ABE3F}" name="Column9" dataDxfId="18"/>
    <tableColumn id="91" xr3:uid="{AB9AD78A-0BF4-4E5A-9096-F2A7F32E221E}" name="Column2" dataDxfId="17">
      <calculatedColumnFormula>#REF!</calculatedColumnFormula>
    </tableColumn>
    <tableColumn id="92" xr3:uid="{DB4BFE94-50E6-4A1F-BA35-43259D45153C}" name="Column3" dataDxfId="16">
      <calculatedColumnFormula>#REF!</calculatedColumnFormula>
    </tableColumn>
    <tableColumn id="93" xr3:uid="{F2BD17CD-3E8D-490B-8B5F-8EFA9C57DBAB}" name="Column4" dataDxfId="15"/>
    <tableColumn id="94" xr3:uid="{767FF8C1-736A-4E38-8F7B-1C62E2479B33}" name="Column5" dataDxfId="14">
      <calculatedColumnFormula>IF(Table159[[#This Row],[Column4]]="Y",(Table159[[#This Row],[Column2]]+Table159[[#This Row],[Column3]])/2,"")</calculatedColumnFormula>
    </tableColumn>
    <tableColumn id="95" xr3:uid="{690FF10C-F5A8-4DE3-A71C-D754F3CEFDBA}" name="Column6" dataDxfId="13">
      <calculatedColumnFormula>IF(Table159[[#This Row],[Column4]]="Y",Table159[[#This Row],[Column3]]-Table159[[#This Row],[Column2]],"")</calculatedColumnFormula>
    </tableColumn>
    <tableColumn id="96" xr3:uid="{8CC24E8E-1EB3-4CB6-AB4A-367074F9F9C9}" name="Column7" dataDxfId="12">
      <calculatedColumnFormula>IF(Table159[[#This Row],[Column4]]="Y",(Table159[[#This Row],[Column6]]^2)/2,"")</calculatedColumnFormula>
    </tableColumn>
    <tableColumn id="97" xr3:uid="{E4203F08-2A8F-4CC0-B494-3D4A3B5E70D0}" name="Column8" dataDxfId="11">
      <calculatedColumnFormula>IF(Table159[[#This Row],[Column4]]="Y",Table159[[#This Row],[Column7]]/(Table159[[#This Row],[Column5]]^2),"")</calculatedColumnFormula>
    </tableColumn>
    <tableColumn id="98" xr3:uid="{C2DD7D57-789B-434E-99BC-BC93EC512789}" name="Column10" dataDxfId="10"/>
    <tableColumn id="99" xr3:uid="{045B4ABA-3C4E-47E2-AA47-CC6792B4979B}" name="Column11" dataDxfId="9">
      <calculatedColumnFormula>#REF!</calculatedColumnFormula>
    </tableColumn>
    <tableColumn id="100" xr3:uid="{DD9BE686-7888-40D3-9D5A-5C97FAF8557C}" name="Column12" dataDxfId="8">
      <calculatedColumnFormula>#REF!</calculatedColumnFormula>
    </tableColumn>
    <tableColumn id="101" xr3:uid="{0A9AE72E-A8CF-4A73-9801-EC0813694FB0}" name="Column13" dataDxfId="7"/>
    <tableColumn id="102" xr3:uid="{CB5BCABE-B193-4470-B5D3-74EF09A3ADB4}" name="Column14" dataDxfId="6">
      <calculatedColumnFormula>IF(Table159[[#This Row],[Column13]]="Y",(Table159[[#This Row],[Column11]]+Table159[[#This Row],[Column12]])/2,"")</calculatedColumnFormula>
    </tableColumn>
    <tableColumn id="103" xr3:uid="{879E0CC5-49C0-4690-BAE9-1FC06C393352}" name="Column15" dataDxfId="5">
      <calculatedColumnFormula>IF(Table159[[#This Row],[Column13]]="Y",Table159[[#This Row],[Column12]]-Table159[[#This Row],[Column11]],"")</calculatedColumnFormula>
    </tableColumn>
    <tableColumn id="104" xr3:uid="{825AB28E-F6A2-4543-A28B-1DD902D2CE15}" name="Column16" dataDxfId="4">
      <calculatedColumnFormula>IF(Table159[[#This Row],[Column13]]="Y",(Table159[[#This Row],[Column15]]^2)/2,"")</calculatedColumnFormula>
    </tableColumn>
    <tableColumn id="105" xr3:uid="{91461114-FCA3-462B-914D-4BC6C02BAF8C}" name="Column17" dataDxfId="3">
      <calculatedColumnFormula>IF(Table159[[#This Row],[Column13]]="Y",Table159[[#This Row],[Column16]]/(Table159[[#This Row],[Column14]]^2),"")</calculatedColumnFormula>
    </tableColumn>
    <tableColumn id="106" xr3:uid="{5D85C6C7-6E51-46DF-8911-14BB63215B7D}" name="Column25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131DE7-DC4D-4231-A9F7-D06394A117C9}" name="Table13674" displayName="Table13674" ref="B8:Z14" totalsRowShown="0" headerRowDxfId="227" dataDxfId="226">
  <autoFilter ref="B8:Z14" xr:uid="{F6131DE7-DC4D-4231-A9F7-D06394A117C9}"/>
  <tableColumns count="25">
    <tableColumn id="1" xr3:uid="{3EE6ADC5-7445-4A43-80D0-38BCBB5DAFA2}" name="MICE_ID" dataDxfId="252"/>
    <tableColumn id="83" xr3:uid="{DFCD2F3A-72B0-42CD-9C3C-B6A8812B1376}" name="Test_Volume" dataDxfId="251">
      <calculatedColumnFormula>#REF!</calculatedColumnFormula>
    </tableColumn>
    <tableColumn id="84" xr3:uid="{8BD2D2AB-0F31-4686-9D3C-7E348867C37C}" name="ReTest_Volume" dataDxfId="250">
      <calculatedColumnFormula>#REF!</calculatedColumnFormula>
    </tableColumn>
    <tableColumn id="85" xr3:uid="{CE7F5D64-757D-46AC-8217-0C86ED71DD44}" name="Inclusion Flag" dataDxfId="249"/>
    <tableColumn id="86" xr3:uid="{774B18CD-DA5C-48CE-9157-39345D207E54}" name="Average_Volume" dataDxfId="248">
      <calculatedColumnFormula>IF(Table13674[[#This Row],[Inclusion Flag]]="Y",(Table13674[[#This Row],[Test_Volume]]+Table13674[[#This Row],[ReTest_Volume]])/2,"")</calculatedColumnFormula>
    </tableColumn>
    <tableColumn id="87" xr3:uid="{2FA69681-88E6-4952-B86A-2F336F3D316C}" name="Difference_Volume" dataDxfId="247">
      <calculatedColumnFormula>IF(Table13674[[#This Row],[Inclusion Flag]]="Y",(Table13674[[#This Row],[ReTest_Volume]]-Table13674[[#This Row],[Test_Volume]]),"")</calculatedColumnFormula>
    </tableColumn>
    <tableColumn id="88" xr3:uid="{5DBBDFCB-A839-4897-8285-846882EE1180}" name="Pair_Variance V is sq(Diff)/2" dataDxfId="246">
      <calculatedColumnFormula>IF(Table13674[[#This Row],[Inclusion Flag]]="Y",(Table13674[[#This Row],[Difference_Volume]]^2)/2,"")</calculatedColumnFormula>
    </tableColumn>
    <tableColumn id="89" xr3:uid="{BAE2DB49-C51A-4D74-A116-D7F45BD1C3E5}" name="Pairwise_wCV   is V/M^2" dataDxfId="245">
      <calculatedColumnFormula>IF(Table13674[[#This Row],[Inclusion Flag]]="Y",Table13674[[#This Row],[Pair_Variance V is sq(Diff)/2]]/(Table13674[[#This Row],[Average_Volume]]^2),"")</calculatedColumnFormula>
    </tableColumn>
    <tableColumn id="90" xr3:uid="{4F827320-CDCC-44E3-B6DC-27A12EEA20C7}" name="Column9" dataDxfId="244"/>
    <tableColumn id="91" xr3:uid="{325B5120-B75B-439D-86D3-A5C9D17E5294}" name="Test_Volume2" dataDxfId="243">
      <calculatedColumnFormula>#REF!</calculatedColumnFormula>
    </tableColumn>
    <tableColumn id="92" xr3:uid="{87BBF876-4C7D-42F4-A285-E5CE81819068}" name="ReTest_Volume2" dataDxfId="242">
      <calculatedColumnFormula>#REF!</calculatedColumnFormula>
    </tableColumn>
    <tableColumn id="93" xr3:uid="{0D305626-7C18-43D0-97BB-BFB5153CA729}" name="Inclusion Flag2" dataDxfId="241"/>
    <tableColumn id="94" xr3:uid="{EE5EF995-A567-4A6F-89F6-54E40F1E36BA}" name="Average_Volume2" dataDxfId="240">
      <calculatedColumnFormula>IF(Table13674[[#This Row],[Inclusion Flag2]]="Y",(Table13674[[#This Row],[Test_Volume2]]+Table13674[[#This Row],[ReTest_Volume2]])/2,"")</calculatedColumnFormula>
    </tableColumn>
    <tableColumn id="95" xr3:uid="{88ABCE09-3C2B-43D6-86EE-FD9D48E0D19D}" name="Difference_Volume2" dataDxfId="239">
      <calculatedColumnFormula>IF(Table13674[[#This Row],[Inclusion Flag2]]="Y",Table13674[[#This Row],[ReTest_Volume2]]-Table13674[[#This Row],[Test_Volume2]],"")</calculatedColumnFormula>
    </tableColumn>
    <tableColumn id="96" xr3:uid="{46C75B73-0AE5-47D1-B5BA-3724147852E1}" name="Pair_Variance V2 is sq(Diff)/2" dataDxfId="238">
      <calculatedColumnFormula>IF(Table13674[[#This Row],[Inclusion Flag2]]="Y",(Table13674[[#This Row],[Difference_Volume2]]^2)/2,"")</calculatedColumnFormula>
    </tableColumn>
    <tableColumn id="97" xr3:uid="{35E08D97-F582-4AFA-B246-3C19F6C03292}" name="Pairwise_wCV2   is V/M^2" dataDxfId="237">
      <calculatedColumnFormula>IF(Table13674[[#This Row],[Inclusion Flag2]]="Y",Table13674[[#This Row],[Pair_Variance V2 is sq(Diff)/2]]/(Table13674[[#This Row],[Average_Volume2]]^2),"")</calculatedColumnFormula>
    </tableColumn>
    <tableColumn id="98" xr3:uid="{A4F9C764-02F3-48B4-8EF9-AF96A06E3624}" name="Column17" dataDxfId="236"/>
    <tableColumn id="99" xr3:uid="{53571F41-6F66-4C30-A831-A840A6C72DB0}" name="Test_Volume3" dataDxfId="235">
      <calculatedColumnFormula>#REF!</calculatedColumnFormula>
    </tableColumn>
    <tableColumn id="100" xr3:uid="{1DD04A7D-5E61-46DE-A86D-CF6906829DB1}" name="ReTest_Volume3" dataDxfId="234">
      <calculatedColumnFormula>#REF!</calculatedColumnFormula>
    </tableColumn>
    <tableColumn id="101" xr3:uid="{72DF62E5-206F-46C6-BB1C-D3D486649CAE}" name="Inclusion Flag3" dataDxfId="233"/>
    <tableColumn id="102" xr3:uid="{53719CF2-551F-41F2-85A7-A2598517F7C6}" name="Average_Vol3" dataDxfId="232">
      <calculatedColumnFormula>IF(Table13674[[#This Row],[Inclusion Flag2]]="Y",(Table13674[[#This Row],[Test_Volume2]]+Table13674[[#This Row],[ReTest_Volume2]])/2,"")</calculatedColumnFormula>
    </tableColumn>
    <tableColumn id="103" xr3:uid="{75DF5750-D9D7-465C-9818-6A8DBCC9F212}" name="Difference_Volume3" dataDxfId="231">
      <calculatedColumnFormula>IF(Table13674[[#This Row],[Inclusion Flag2]]="Y",Table13674[[#This Row],[ReTest_Volume2]]-Table13674[[#This Row],[Test_Volume2]],"")</calculatedColumnFormula>
    </tableColumn>
    <tableColumn id="104" xr3:uid="{AB4424F5-2DA4-4D5C-943B-E61E04E43DEA}" name="Pair_Variance V3 is sq(Diff)/2" dataDxfId="230">
      <calculatedColumnFormula>IF(Table13674[[#This Row],[Inclusion Flag3]]="Y",(Table13674[[#This Row],[Difference_Volume3]]^2)/2,"")</calculatedColumnFormula>
    </tableColumn>
    <tableColumn id="105" xr3:uid="{85448545-BB60-4FAB-A712-0EFDA8181A74}" name="Pairwise_wCV3  is V/M^2" dataDxfId="229">
      <calculatedColumnFormula>IF(Table13674[[#This Row],[Inclusion Flag2]]="Y",Table13674[[#This Row],[Pair_Variance V2 is sq(Diff)/2]]/(Table13674[[#This Row],[Average_Volume2]]^2),"")</calculatedColumnFormula>
    </tableColumn>
    <tableColumn id="106" xr3:uid="{4C38F2A0-7DF4-44BF-BE04-F91266973AA2}" name="Column25" dataDxfId="22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4FB719-45B0-47C3-A4CF-63FD1FE1DC7A}" name="Table15" displayName="Table15" ref="B8:Z23" totalsRowShown="0" headerRowDxfId="200" dataDxfId="199">
  <autoFilter ref="B8:Z23" xr:uid="{7B4FB719-45B0-47C3-A4CF-63FD1FE1DC7A}"/>
  <tableColumns count="25">
    <tableColumn id="1" xr3:uid="{9CBFB008-083F-4BB0-A811-ACDB5394068E}" name="MICE_ID" dataDxfId="225"/>
    <tableColumn id="83" xr3:uid="{62F5038A-71B3-4774-808D-5DBE7580E329}" name="Test_Volume" dataDxfId="224">
      <calculatedColumnFormula>#REF!</calculatedColumnFormula>
    </tableColumn>
    <tableColumn id="84" xr3:uid="{BD3803DF-2C36-4719-B8C6-E761949BBED1}" name="ReTest_Volume" dataDxfId="223">
      <calculatedColumnFormula>#REF!</calculatedColumnFormula>
    </tableColumn>
    <tableColumn id="85" xr3:uid="{BB523377-0560-49A4-9C73-52937D6DBD8A}" name="Inclusion Flag" dataDxfId="222"/>
    <tableColumn id="86" xr3:uid="{9FE6869C-C06B-4728-9649-B4A99F06B7FF}" name="Average_Volume" dataDxfId="221">
      <calculatedColumnFormula>IF(Table15[[#This Row],[Inclusion Flag]]="Y",(Table15[[#This Row],[Test_Volume]]+Table15[[#This Row],[ReTest_Volume]])/2,"")</calculatedColumnFormula>
    </tableColumn>
    <tableColumn id="87" xr3:uid="{EF984B4F-40AC-4C57-9947-E12C0642A34B}" name="Difference_Volume" dataDxfId="220">
      <calculatedColumnFormula>IF(Table15[[#This Row],[Inclusion Flag]]="Y",(Table15[[#This Row],[ReTest_Volume]]-Table15[[#This Row],[Test_Volume]]),"")</calculatedColumnFormula>
    </tableColumn>
    <tableColumn id="88" xr3:uid="{0D22B22D-C10F-4112-BE96-ADF41A8A3853}" name="Pair_Variance V is sq(Diff)/2" dataDxfId="219">
      <calculatedColumnFormula>IF(Table15[[#This Row],[Inclusion Flag]]="Y",(Table15[[#This Row],[Difference_Volume]]^2)/2,"")</calculatedColumnFormula>
    </tableColumn>
    <tableColumn id="89" xr3:uid="{5254B18F-1E42-434B-B4B4-CC8D72E21A7C}" name="Pairwise_wCV   is V/M^2" dataDxfId="218">
      <calculatedColumnFormula>IF(Table15[[#This Row],[Inclusion Flag]]="Y",Table15[[#This Row],[Pair_Variance V is sq(Diff)/2]]/(Table15[[#This Row],[Average_Volume]]^2),"")</calculatedColumnFormula>
    </tableColumn>
    <tableColumn id="90" xr3:uid="{1706F2D6-31E6-4E4A-AFF5-6741E7DA4731}" name="Column9" dataDxfId="217"/>
    <tableColumn id="91" xr3:uid="{398D51C1-48EA-423D-973F-79BF987C021C}" name="Test_Volume2" dataDxfId="216">
      <calculatedColumnFormula>#REF!</calculatedColumnFormula>
    </tableColumn>
    <tableColumn id="92" xr3:uid="{2D066212-F385-4315-843F-3FCD2AED9342}" name="ReTest_Volume2" dataDxfId="215">
      <calculatedColumnFormula>#REF!</calculatedColumnFormula>
    </tableColumn>
    <tableColumn id="93" xr3:uid="{2EA5B4A4-82A2-4877-8C36-7588A74161EC}" name="Inclusion Flag2" dataDxfId="214"/>
    <tableColumn id="94" xr3:uid="{718A4A50-B2B7-42B4-B257-A282B9FF08DC}" name="Average_Volume2" dataDxfId="213">
      <calculatedColumnFormula>IF(Table15[[#This Row],[Inclusion Flag2]]="Y",(Table15[[#This Row],[Test_Volume2]]+Table15[[#This Row],[ReTest_Volume2]])/2,"")</calculatedColumnFormula>
    </tableColumn>
    <tableColumn id="95" xr3:uid="{DB00D6B0-7E3D-4E97-8500-A7C17DE06F6F}" name="Difference_Volume2" dataDxfId="212">
      <calculatedColumnFormula>IF(Table15[[#This Row],[Inclusion Flag2]]="Y",Table15[[#This Row],[ReTest_Volume2]]-Table15[[#This Row],[Test_Volume2]],"")</calculatedColumnFormula>
    </tableColumn>
    <tableColumn id="96" xr3:uid="{51BE094D-E8EE-492D-8CA6-3AB6B4BF443E}" name="Pair_Variance V is sq(Diff)/27" dataDxfId="211">
      <calculatedColumnFormula>IF(Table15[[#This Row],[Inclusion Flag2]]="Y",(Table15[[#This Row],[Difference_Volume2]]^2)/2,"")</calculatedColumnFormula>
    </tableColumn>
    <tableColumn id="97" xr3:uid="{9DBCE956-DA60-4A08-9593-EFFD7ADFE5DE}" name="Pairwise_wCV2   is V/M^2" dataDxfId="210">
      <calculatedColumnFormula>IF(Table15[[#This Row],[Inclusion Flag2]]="Y",Table15[[#This Row],[Pair_Variance V is sq(Diff)/27]]/(Table15[[#This Row],[Average_Volume2]]^2),"")</calculatedColumnFormula>
    </tableColumn>
    <tableColumn id="98" xr3:uid="{6C6C49C5-B077-4113-B9B9-30935E2BB927}" name="Column17" dataDxfId="209"/>
    <tableColumn id="99" xr3:uid="{0DC8E180-3349-4D8E-B751-BA1E70270EF6}" name="Test_Volume3" dataDxfId="208">
      <calculatedColumnFormula>#REF!</calculatedColumnFormula>
    </tableColumn>
    <tableColumn id="100" xr3:uid="{524EEDC2-5F97-431B-827B-3CFB0D908383}" name="ReTest_Volume3" dataDxfId="207">
      <calculatedColumnFormula>#REF!</calculatedColumnFormula>
    </tableColumn>
    <tableColumn id="101" xr3:uid="{E337227B-F02C-4B70-BD26-F84A1B2A0BA7}" name="Inclusion Flag3" dataDxfId="206"/>
    <tableColumn id="102" xr3:uid="{6C00BAA7-196F-4094-99E3-BE8272FBFB8B}" name="Average_Volume3" dataDxfId="205">
      <calculatedColumnFormula>IF(Table15[[#This Row],[Inclusion Flag3]]="Y",(Table15[[#This Row],[Test_Volume3]]+Table15[[#This Row],[ReTest_Volume3]])/2,"")</calculatedColumnFormula>
    </tableColumn>
    <tableColumn id="103" xr3:uid="{A918D178-55A1-4B5B-A3B7-4ED7CD175ED8}" name="Difference_Volume3" dataDxfId="204">
      <calculatedColumnFormula>IF(Table15[[#This Row],[Inclusion Flag3]]="Y",Table15[[#This Row],[ReTest_Volume3]]-Table15[[#This Row],[Test_Volume3]],"")</calculatedColumnFormula>
    </tableColumn>
    <tableColumn id="104" xr3:uid="{0CDA11A7-CBC7-4D49-8049-D818610239D0}" name="Pair_Variance V3 is sq(Diff)/2" dataDxfId="203">
      <calculatedColumnFormula>IF(Table15[[#This Row],[Inclusion Flag3]]="Y",(Table15[[#This Row],[Difference_Volume3]]^2)/2,"")</calculatedColumnFormula>
    </tableColumn>
    <tableColumn id="105" xr3:uid="{58E5E0BB-84B1-4ACC-B87B-262E3A718764}" name="Pairwise_wCV3   is V/M^2" dataDxfId="202">
      <calculatedColumnFormula>IF(Table15[[#This Row],[Inclusion Flag3]]="Y",Table15[[#This Row],[Pair_Variance V3 is sq(Diff)/2]]/(Table15[[#This Row],[Average_Volume3]]^2),"")</calculatedColumnFormula>
    </tableColumn>
    <tableColumn id="106" xr3:uid="{7EF9AB7E-8091-40B1-95F9-697B9D42465A}" name="Column25" dataDxfId="20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FFB471C-33BB-43EE-8A45-9016A0021265}" name="Table11112" displayName="Table11112" ref="E5:AD22" totalsRowShown="0" headerRowDxfId="172" dataDxfId="171">
  <autoFilter ref="E5:AD22" xr:uid="{A6317117-1482-42D4-A4BD-305D01CE8831}"/>
  <tableColumns count="26">
    <tableColumn id="1" xr3:uid="{125793BD-BBBE-4E5A-85DE-1F8BD60E92D8}" name="SubID_Split1" dataDxfId="198"/>
    <tableColumn id="83" xr3:uid="{31084DA9-D00C-41DD-A9AA-9E642C4D3AFE}" name="Test_Volume" dataDxfId="197">
      <calculatedColumnFormula>#REF!</calculatedColumnFormula>
    </tableColumn>
    <tableColumn id="84" xr3:uid="{163CBEB3-01FD-4A5E-BB5B-308350DC959C}" name="ReTest_Volume" dataDxfId="196">
      <calculatedColumnFormula>#REF!</calculatedColumnFormula>
    </tableColumn>
    <tableColumn id="85" xr3:uid="{5EAC7A8C-EB69-4610-88C9-133AC500AB33}" name="Inclusion Flag" dataDxfId="195"/>
    <tableColumn id="86" xr3:uid="{BCC61706-264C-44E3-B452-3B0131A93BE1}" name="Average_Volume" dataDxfId="194">
      <calculatedColumnFormula>IF(Table11112[[#This Row],[Inclusion Flag]]="Y",(Table11112[[#This Row],[Test_Volume]]+Table11112[[#This Row],[ReTest_Volume]])/2,"")</calculatedColumnFormula>
    </tableColumn>
    <tableColumn id="87" xr3:uid="{D8103797-E1B5-4115-927A-E0E79BDCE89C}" name="Difference_Volume" dataDxfId="193">
      <calculatedColumnFormula>IF(Table11112[[#This Row],[Inclusion Flag]]="Y",(Table11112[[#This Row],[ReTest_Volume]]-Table11112[[#This Row],[Test_Volume]]),"")</calculatedColumnFormula>
    </tableColumn>
    <tableColumn id="88" xr3:uid="{9773C8CB-C3A9-4B5B-B4D8-47C39A40C8B8}" name="Pair_Variance V is sq(Diff)/2" dataDxfId="192">
      <calculatedColumnFormula>IF(Table11112[[#This Row],[Inclusion Flag]]="Y",(Table11112[[#This Row],[Difference_Volume]]^2)/2,"")</calculatedColumnFormula>
    </tableColumn>
    <tableColumn id="89" xr3:uid="{E5524F6B-66C9-4EFE-A85A-5DE7E7BB4582}" name="Pairwise_wCV   is V/M^2" dataDxfId="191">
      <calculatedColumnFormula>IF(Table11112[[#This Row],[Inclusion Flag]]="Y",Table11112[[#This Row],[Pair_Variance V is sq(Diff)/2]]/(Table11112[[#This Row],[Average_Volume]]^2),"")</calculatedColumnFormula>
    </tableColumn>
    <tableColumn id="90" xr3:uid="{024A3045-49A3-44E9-B60B-33B53287C2E1}" name="Column9" dataDxfId="190"/>
    <tableColumn id="2" xr3:uid="{D370038D-8E63-4C2B-80C5-B73E19C8273E}" name="Test_Volume2" dataDxfId="189"/>
    <tableColumn id="91" xr3:uid="{961E7051-2B92-4EF5-A843-A341F39A3F76}" name="ReTest_Volume2" dataDxfId="188">
      <calculatedColumnFormula>#REF!</calculatedColumnFormula>
    </tableColumn>
    <tableColumn id="92" xr3:uid="{F96BC919-4D5F-4FCE-B820-5D9F0814ED29}" name="Inclusion Flag2" dataDxfId="187">
      <calculatedColumnFormula>#REF!</calculatedColumnFormula>
    </tableColumn>
    <tableColumn id="93" xr3:uid="{E51482D3-64F9-49E8-BBA8-72A0088F9DFE}" name="Average_Volume2" dataDxfId="186">
      <calculatedColumnFormula>IF(Table11112[[#This Row],[Inclusion Flag2]]="Y",(Table11112[[#This Row],[Test_Volume2]]+Table11112[[#This Row],[ReTest_Volume2]])/2,"")</calculatedColumnFormula>
    </tableColumn>
    <tableColumn id="94" xr3:uid="{7B1ABA39-AADC-4561-80F0-979D04D318BB}" name="Difference_Volume2" dataDxfId="185">
      <calculatedColumnFormula>IF(Table11112[[#This Row],[Inclusion Flag2]]="Y",(Table11112[[#This Row],[ReTest_Volume2]]-Table11112[[#This Row],[Test_Volume2]]),"")</calculatedColumnFormula>
    </tableColumn>
    <tableColumn id="95" xr3:uid="{DA3D1932-AF43-47A3-88BF-25187844566F}" name="Pair_Variance2 V is sq(Diff)/2" dataDxfId="184">
      <calculatedColumnFormula>IF(Table11112[[#This Row],[Inclusion Flag2]]="Y",(Table11112[[#This Row],[Difference_Volume2]]^2)/2,"")</calculatedColumnFormula>
    </tableColumn>
    <tableColumn id="96" xr3:uid="{B5688E2C-75FA-4699-B3A8-D80A8C90F204}" name="Pairwise_wCV2   is V/M^2" dataDxfId="183">
      <calculatedColumnFormula>IF(Table11112[[#This Row],[Inclusion Flag2]]="Y",Table11112[[#This Row],[Pair_Variance2 V is sq(Diff)/2]]/(Table11112[[#This Row],[Average_Volume2]]^2),"")</calculatedColumnFormula>
    </tableColumn>
    <tableColumn id="97" xr3:uid="{03D2727F-11A0-41DA-AED0-88BA4226F656}" name="Column8" dataDxfId="182">
      <calculatedColumnFormula>IF(Table11112[[#This Row],[Average_Volume2]]="Y",Table11112[[#This Row],[Pairwise_wCV2   is V/M^2]]/(Table11112[[#This Row],[Difference_Volume2]]^2),"")</calculatedColumnFormula>
    </tableColumn>
    <tableColumn id="98" xr3:uid="{1D3503DE-9126-4ED8-B941-E2EE9912BF81}" name="Column17" dataDxfId="181"/>
    <tableColumn id="99" xr3:uid="{550AF6D0-2580-467E-BFBF-A84D30FCBA45}" name="Column10" dataDxfId="180">
      <calculatedColumnFormula>#REF!</calculatedColumnFormula>
    </tableColumn>
    <tableColumn id="100" xr3:uid="{47AC33AF-3BB3-478F-A428-ADA7B3096E63}" name="Column11" dataDxfId="179">
      <calculatedColumnFormula>#REF!</calculatedColumnFormula>
    </tableColumn>
    <tableColumn id="101" xr3:uid="{12BD80A1-7B23-49BD-8DC3-05646F6E3EC3}" name="Column12" dataDxfId="178"/>
    <tableColumn id="102" xr3:uid="{1A769A72-214A-4CB7-9E90-62AC270B9416}" name="Column13" dataDxfId="177">
      <calculatedColumnFormula>IF(Table11112[[#This Row],[Column12]]="Y",(Table11112[[#This Row],[Column10]]+Table11112[[#This Row],[Column11]])/2,"")</calculatedColumnFormula>
    </tableColumn>
    <tableColumn id="103" xr3:uid="{987855BA-ED9A-472C-8BDD-1473C8D436D1}" name="Column14" dataDxfId="176">
      <calculatedColumnFormula>IF(Table11112[[#This Row],[Column12]]="Y",Table11112[[#This Row],[Column11]]-Table11112[[#This Row],[Column10]],"")</calculatedColumnFormula>
    </tableColumn>
    <tableColumn id="104" xr3:uid="{A434B718-D3FB-4A8D-B454-DB85B79F9B5A}" name="Column15" dataDxfId="175">
      <calculatedColumnFormula>IF(Table11112[[#This Row],[Average_Volume2]]="Y",Table11112[[#This Row],[Inclusion Flag2]]-Table11112[[#This Row],[ReTest_Volume2]],"")</calculatedColumnFormula>
    </tableColumn>
    <tableColumn id="105" xr3:uid="{E366D1E0-0960-4770-99C8-B282D4FE4BF2}" name="Column16" dataDxfId="174">
      <calculatedColumnFormula>IF(Table11112[[#This Row],[Average_Volume2]]="Y",(Table11112[[#This Row],[Pair_Variance2 V is sq(Diff)/2]]^2)/2,"")</calculatedColumnFormula>
    </tableColumn>
    <tableColumn id="106" xr3:uid="{7D6FD726-ACB3-4BD1-B625-4E85F805AF91}" name="Column18" dataDxfId="173">
      <calculatedColumnFormula>IF(Table11112[[#This Row],[Average_Volume2]]="Y",Table11112[[#This Row],[Pairwise_wCV2   is V/M^2]]/(Table11112[[#This Row],[Difference_Volume2]]^2),"")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94891E1-E7D7-407A-877F-C40CF882C5CE}" name="Table136" displayName="Table136" ref="E9:AC14" totalsRowShown="0" headerRowDxfId="145" dataDxfId="144">
  <autoFilter ref="E9:AC14" xr:uid="{A6317117-1482-42D4-A4BD-305D01CE8831}"/>
  <tableColumns count="25">
    <tableColumn id="1" xr3:uid="{38CCE048-6325-4382-BFFA-778468BC9FD5}" name="MICE_ID" dataDxfId="170"/>
    <tableColumn id="83" xr3:uid="{43828F9E-724C-42D1-A4A3-474BD023985B}" name="Test_Volume" dataDxfId="169">
      <calculatedColumnFormula>#REF!</calculatedColumnFormula>
    </tableColumn>
    <tableColumn id="84" xr3:uid="{591B47F0-4631-4E13-A355-7E7821C62B0F}" name="ReTest_Volume" dataDxfId="168">
      <calculatedColumnFormula>#REF!</calculatedColumnFormula>
    </tableColumn>
    <tableColumn id="85" xr3:uid="{D7318931-F80D-46E4-8F88-70FCE65F9921}" name="Inclusion Flag" dataDxfId="167"/>
    <tableColumn id="86" xr3:uid="{65ECA61E-C31A-4E34-BA52-0D12EB6410EE}" name="Average_Volume" dataDxfId="166">
      <calculatedColumnFormula>IF(Table136[[#This Row],[Inclusion Flag]]="Y",(Table136[[#This Row],[Test_Volume]]+Table136[[#This Row],[ReTest_Volume]])/2,"")</calculatedColumnFormula>
    </tableColumn>
    <tableColumn id="87" xr3:uid="{F47CF86B-175B-4C5E-9305-CEF55E109A66}" name="Difference_Volume" dataDxfId="165">
      <calculatedColumnFormula>IF(Table136[[#This Row],[Inclusion Flag]]="Y",(Table136[[#This Row],[ReTest_Volume]]-Table136[[#This Row],[Test_Volume]]),"")</calculatedColumnFormula>
    </tableColumn>
    <tableColumn id="88" xr3:uid="{AD3CBF64-CEF4-419D-AB9E-8FBE3E8C26DC}" name="Pair_Variance V is sq(Diff)/2" dataDxfId="164">
      <calculatedColumnFormula>IF(Table136[[#This Row],[Inclusion Flag]]="Y",(Table136[[#This Row],[Difference_Volume]]^2)/2,"")</calculatedColumnFormula>
    </tableColumn>
    <tableColumn id="89" xr3:uid="{2E09F50F-45C3-4888-91FE-CE4EEECE0F89}" name="Pairwise_wCV   V/M^2" dataDxfId="163">
      <calculatedColumnFormula>IF(Table136[[#This Row],[Inclusion Flag]]="Y",Table136[[#This Row],[Pair_Variance V is sq(Diff)/2]]/(Table136[[#This Row],[Average_Volume]]^2),"")</calculatedColumnFormula>
    </tableColumn>
    <tableColumn id="90" xr3:uid="{161B4F28-16D1-48EF-BDBE-CF150E718BEA}" name="Column9" dataDxfId="162"/>
    <tableColumn id="91" xr3:uid="{0AF2D968-F044-4D82-9E12-2D8786DC9192}" name="Column1" dataDxfId="161"/>
    <tableColumn id="92" xr3:uid="{7B29EC7B-02D6-4D3E-B7BA-459B461B79AC}" name="Column2" dataDxfId="160"/>
    <tableColumn id="93" xr3:uid="{E4969921-6395-4C9C-8E83-8285D932EEA4}" name="Column3" dataDxfId="159"/>
    <tableColumn id="94" xr3:uid="{3114C3A9-1477-480B-8617-33C5642C6CA0}" name="Column4" dataDxfId="158"/>
    <tableColumn id="95" xr3:uid="{E17D7B06-3EF8-4A99-B7AC-B2BD918480AA}" name="Column5" dataDxfId="157"/>
    <tableColumn id="96" xr3:uid="{6B603D63-D3DB-417A-A95D-100991A24515}" name="Column6" dataDxfId="156"/>
    <tableColumn id="97" xr3:uid="{CC37D841-9212-4BE1-B6CF-81599820872D}" name="Column7" dataDxfId="155"/>
    <tableColumn id="98" xr3:uid="{EB390407-698A-453D-93AE-09AA94B93E80}" name="Column8" dataDxfId="154"/>
    <tableColumn id="99" xr3:uid="{C8BE6D54-0089-4A67-92E4-8E1027FB72EA}" name="Test_Volume3" dataDxfId="153"/>
    <tableColumn id="100" xr3:uid="{B5B4B43A-477B-4FFD-8CE6-6E83B584C23B}" name="ReTest_Volume3" dataDxfId="152"/>
    <tableColumn id="101" xr3:uid="{4B77486E-B5B1-4A93-8FCF-F9513AEAD766}" name="Inclusion Flag3" dataDxfId="151"/>
    <tableColumn id="102" xr3:uid="{0BCD1DBF-189C-4E70-A0F2-82FC13948922}" name="Average_Volume3" dataDxfId="150"/>
    <tableColumn id="103" xr3:uid="{4CE644C1-C85C-4EAF-978D-4A8DB6E32F89}" name="Difference_Volume3" dataDxfId="149"/>
    <tableColumn id="104" xr3:uid="{032A336B-767D-485E-9875-87791F60227E}" name="Pair_Variance V3 is sq(Diff)/2" dataDxfId="148"/>
    <tableColumn id="105" xr3:uid="{48A21FF0-010E-4738-96A9-5D0A051D1A9A}" name="Pairwise_wCV3   is V/M^2" dataDxfId="147"/>
    <tableColumn id="106" xr3:uid="{C30CCF48-4EB7-4B08-B546-8651382F97D1}" name="Column25" dataDxfId="14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0F51E4-5904-4B24-9E8C-77B8666DA40E}" name="Table13" displayName="Table13" ref="E7:AC21" totalsRowShown="0" headerRowDxfId="118" dataDxfId="117">
  <autoFilter ref="E7:AC21" xr:uid="{A6317117-1482-42D4-A4BD-305D01CE8831}"/>
  <tableColumns count="25">
    <tableColumn id="1" xr3:uid="{583AD229-EAE2-4294-BD63-1944B4F0B9B7}" name="SubID" dataDxfId="143"/>
    <tableColumn id="83" xr3:uid="{2AC22A6C-B61E-45DD-90C8-6798845F3B29}" name="T1 Test" dataDxfId="142">
      <calculatedColumnFormula>#REF!</calculatedColumnFormula>
    </tableColumn>
    <tableColumn id="84" xr3:uid="{79203781-A35F-49B1-BDD5-72465873407A}" name="T1 ReTest" dataDxfId="141">
      <calculatedColumnFormula>#REF!</calculatedColumnFormula>
    </tableColumn>
    <tableColumn id="85" xr3:uid="{925BA0D0-9F8C-4215-9BA8-A791E22CD06E}" name="Incl T2 TvsRT" dataDxfId="140"/>
    <tableColumn id="86" xr3:uid="{3E0D6F56-9415-4098-858E-6D08A3254482}" name="Ave T2 TvsRT" dataDxfId="139">
      <calculatedColumnFormula>IF(Table13[[#This Row],[Incl T2 TvsRT]]="Y",(Table13[[#This Row],[T1 Test]]+Table13[[#This Row],[T1 ReTest]])/2,"")</calculatedColumnFormula>
    </tableColumn>
    <tableColumn id="87" xr3:uid="{8C2B767A-FB50-459E-820B-079E4EC96B3F}" name="Diff T2 TvsRT" dataDxfId="138">
      <calculatedColumnFormula>IF(Table13[[#This Row],[Incl T2 TvsRT]]="Y",(Table13[[#This Row],[T1 ReTest]]-Table13[[#This Row],[T1 Test]]),"")</calculatedColumnFormula>
    </tableColumn>
    <tableColumn id="88" xr3:uid="{D642A718-13B4-4030-A920-DC9B55F6F4A7}" name="V T2 TvsRT" dataDxfId="137">
      <calculatedColumnFormula>IF(Table13[[#This Row],[Incl T2 TvsRT]]="Y",(Table13[[#This Row],[Diff T2 TvsRT]]^2)/2,"")</calculatedColumnFormula>
    </tableColumn>
    <tableColumn id="89" xr3:uid="{0D53497E-1FF8-44AA-8643-3056AFBEE77B}" name="V/M^2 T2 TvsRT" dataDxfId="136">
      <calculatedColumnFormula>IF(Table13[[#This Row],[Incl T2 TvsRT]]="Y",Table13[[#This Row],[V T2 TvsRT]]/(Table13[[#This Row],[Ave T2 TvsRT]]^2),"")</calculatedColumnFormula>
    </tableColumn>
    <tableColumn id="90" xr3:uid="{40DA196F-20FB-4E82-9641-148336A18E20}" name="Column9" dataDxfId="135"/>
    <tableColumn id="91" xr3:uid="{B6BBD8B1-F5F6-45C8-AA64-A0A2904069CC}" name="Column1" dataDxfId="134"/>
    <tableColumn id="92" xr3:uid="{290984DF-0230-4DAC-9AD0-3852869410E2}" name="Column2" dataDxfId="133"/>
    <tableColumn id="93" xr3:uid="{5B2CA687-63F1-4A40-9C1E-61311B8B9434}" name="Column3" dataDxfId="132"/>
    <tableColumn id="94" xr3:uid="{522474D3-1382-43D7-813A-9CB05799111A}" name="Column4" dataDxfId="131"/>
    <tableColumn id="95" xr3:uid="{CE211B20-ABD6-4B72-B560-87C4BFFE7E46}" name="Column5" dataDxfId="130"/>
    <tableColumn id="96" xr3:uid="{AD66FA30-39C1-4141-8EEC-13C844D2EE03}" name="Column6" dataDxfId="129"/>
    <tableColumn id="97" xr3:uid="{3B996041-BD5C-4460-ABD5-3E16FCD73E0C}" name="Column7" dataDxfId="128"/>
    <tableColumn id="98" xr3:uid="{3E8A35DC-5913-4552-875B-445A2F2656DB}" name="Column8" dataDxfId="127"/>
    <tableColumn id="99" xr3:uid="{1D376772-3412-431B-951B-FCB9F1D37878}" name="Column10" dataDxfId="126"/>
    <tableColumn id="100" xr3:uid="{F9D16635-55E0-462C-B92F-07E4C07E1BBA}" name="Column11" dataDxfId="125"/>
    <tableColumn id="101" xr3:uid="{3D3B31CB-959F-4AD7-89EF-298F3D04098F}" name="Column12" dataDxfId="124"/>
    <tableColumn id="102" xr3:uid="{6B455C99-8AE7-4D15-A3D8-CDC05157F9AC}" name="Column13" dataDxfId="123"/>
    <tableColumn id="103" xr3:uid="{BCE875A4-1EDA-413C-B029-F072FEAB088B}" name="Column14" dataDxfId="122"/>
    <tableColumn id="104" xr3:uid="{B98683D9-85B4-4BAD-8A21-3C4B5616599B}" name="Column15" dataDxfId="121"/>
    <tableColumn id="105" xr3:uid="{17FA452E-6FFD-46FF-8013-2C5E7A336FD4}" name="Column16" dataDxfId="120"/>
    <tableColumn id="106" xr3:uid="{3F3B59E1-36F0-40AD-A413-CEABF1670BFB}" name="Column17" dataDxfId="11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3A6F870-FC0A-49BA-927A-FD884D7B5F4A}" name="Table111" displayName="Table111" ref="E4:W21" totalsRowShown="0" headerRowDxfId="97" dataDxfId="96">
  <autoFilter ref="E4:W21" xr:uid="{A6317117-1482-42D4-A4BD-305D01CE8831}"/>
  <tableColumns count="19">
    <tableColumn id="90" xr3:uid="{7EF7780D-315F-4BEE-8590-151EF10064D3}" name="Column9" dataDxfId="116"/>
    <tableColumn id="2" xr3:uid="{54CA709D-1D5F-487B-8F83-9B8E8C0B2DB7}" name="SubID_Split2" dataDxfId="115"/>
    <tableColumn id="91" xr3:uid="{3D69A8AD-05A7-4365-9953-9CEC5054EA7C}" name="Test_Volume" dataDxfId="114">
      <calculatedColumnFormula>#REF!</calculatedColumnFormula>
    </tableColumn>
    <tableColumn id="92" xr3:uid="{46B318BF-38AD-41F4-85A4-F32E43D81256}" name="ReTest_Volume" dataDxfId="113">
      <calculatedColumnFormula>#REF!</calculatedColumnFormula>
    </tableColumn>
    <tableColumn id="93" xr3:uid="{59B2FB72-AA54-4E52-8AEB-58893FE59C6F}" name="Inclusion Flag" dataDxfId="112"/>
    <tableColumn id="94" xr3:uid="{985D6620-59DF-4E87-8CC8-C42853A25E57}" name="Average_Volume" dataDxfId="111">
      <calculatedColumnFormula>IF(Table111[[#This Row],[Inclusion Flag]]="Y",(Table111[[#This Row],[Test_Volume]]+Table111[[#This Row],[ReTest_Volume]])/2,"")</calculatedColumnFormula>
    </tableColumn>
    <tableColumn id="95" xr3:uid="{E91E4179-6439-4C95-ACC4-EC20147C77A6}" name="Difference_Volume" dataDxfId="110">
      <calculatedColumnFormula>IF(Table111[[#This Row],[Inclusion Flag]]="Y",Table111[[#This Row],[ReTest_Volume]]-Table111[[#This Row],[Test_Volume]],"")</calculatedColumnFormula>
    </tableColumn>
    <tableColumn id="96" xr3:uid="{90E56817-73CB-48E2-BDAF-B539E76B70D2}" name="Pair_Variance V is sq(Diff)/2" dataDxfId="109">
      <calculatedColumnFormula>IF(Table111[[#This Row],[Inclusion Flag]]="Y",(Table111[[#This Row],[Difference_Volume]]^2)/2,"")</calculatedColumnFormula>
    </tableColumn>
    <tableColumn id="97" xr3:uid="{3A36CB69-FEB3-47F3-AED9-F8F52408A64E}" name="Pairwise_wCV   is V/M^2" dataDxfId="108">
      <calculatedColumnFormula>IF(Table111[[#This Row],[Inclusion Flag]]="Y",Table111[[#This Row],[Pair_Variance V is sq(Diff)/2]]/(Table111[[#This Row],[Average_Volume]]^2),"")</calculatedColumnFormula>
    </tableColumn>
    <tableColumn id="98" xr3:uid="{0D37119C-1BA7-439A-B7C8-103C4A9418DE}" name="Column17" dataDxfId="107"/>
    <tableColumn id="3" xr3:uid="{137B880C-85A8-45D7-B601-3375F83E0195}" name="Column18" dataDxfId="106"/>
    <tableColumn id="99" xr3:uid="{D29EE6AC-F720-47AD-8C29-3756974334C1}" name="SubID_Split22" dataDxfId="105">
      <calculatedColumnFormula>#REF!</calculatedColumnFormula>
    </tableColumn>
    <tableColumn id="100" xr3:uid="{89E807AD-89B1-4977-B7DC-156F31686D23}" name="Test_Volume2" dataDxfId="104">
      <calculatedColumnFormula>#REF!</calculatedColumnFormula>
    </tableColumn>
    <tableColumn id="101" xr3:uid="{0EEF09AE-67EB-4F1C-BC0E-7F9E4DE887C2}" name="ReTest_Volume2" dataDxfId="103"/>
    <tableColumn id="102" xr3:uid="{72011478-ECB3-4972-9AB5-9BC9F63FC346}" name="Inclusion Flag2" dataDxfId="102">
      <calculatedColumnFormula>IF(Table111[[#This Row],[ReTest_Volume2]]="Y",(Table111[[#This Row],[SubID_Split22]]+Table111[[#This Row],[Test_Volume2]])/2,"")</calculatedColumnFormula>
    </tableColumn>
    <tableColumn id="103" xr3:uid="{BAE06829-03AB-48E2-8ECB-3886A0737469}" name="Average_Volume2" dataDxfId="101">
      <calculatedColumnFormula>IF(Table111[[#This Row],[ReTest_Volume2]]="Y",Table111[[#This Row],[Test_Volume2]]-Table111[[#This Row],[SubID_Split22]],"")</calculatedColumnFormula>
    </tableColumn>
    <tableColumn id="104" xr3:uid="{C676C011-C9E7-41F5-8E63-1783B13D00D1}" name="Difference_Volume2" dataDxfId="100">
      <calculatedColumnFormula>IF(Table111[[#This Row],[Inclusion Flag]]="Y",Table111[[#This Row],[ReTest_Volume]]-Table111[[#This Row],[Test_Volume]],"")</calculatedColumnFormula>
    </tableColumn>
    <tableColumn id="105" xr3:uid="{E42E3687-F5C2-4E2D-9E98-0D8E49C6BA91}" name="Pair_Variance V2 is sq(Diff)/2" dataDxfId="99">
      <calculatedColumnFormula>IF(Table111[[#This Row],[Inclusion Flag]]="Y",(Table111[[#This Row],[Difference_Volume]]^2)/2,"")</calculatedColumnFormula>
    </tableColumn>
    <tableColumn id="106" xr3:uid="{1A24A0F5-26C8-4E01-ACA3-EB3111265754}" name="Pairwise_wCV2   is V/M^2" dataDxfId="98">
      <calculatedColumnFormula>IF(Table111[[#This Row],[Inclusion Flag]]="Y",Table111[[#This Row],[Pair_Variance V is sq(Diff)/2]]/(Table111[[#This Row],[Average_Volume]]^2),"")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A1A680C-415A-46EF-887F-7025B3264912}" name="Table1367" displayName="Table1367" ref="E4:M9" totalsRowShown="0" headerRowDxfId="86" dataDxfId="85">
  <autoFilter ref="E4:M9" xr:uid="{A6317117-1482-42D4-A4BD-305D01CE8831}"/>
  <tableColumns count="9">
    <tableColumn id="1" xr3:uid="{BD0B5D67-B9CA-48C8-A17B-59B4EB906EB8}" name="MICE_ID" dataDxfId="95"/>
    <tableColumn id="83" xr3:uid="{CC92F7BC-7763-446F-ACC8-CF45C7CC630B}" name="Test_Volume" dataDxfId="94">
      <calculatedColumnFormula>#REF!</calculatedColumnFormula>
    </tableColumn>
    <tableColumn id="84" xr3:uid="{BADFE0C3-2F1F-428F-9D98-87577B1931A5}" name="ReTest_Volume" dataDxfId="93">
      <calculatedColumnFormula>#REF!</calculatedColumnFormula>
    </tableColumn>
    <tableColumn id="85" xr3:uid="{4A41BCC7-AE3F-4403-807E-A6864A8330DB}" name="Inclusion Flag" dataDxfId="92"/>
    <tableColumn id="86" xr3:uid="{3616FF74-4657-4FCE-8192-8357CCE0C92F}" name="Average_Volume" dataDxfId="91">
      <calculatedColumnFormula>IF(Table1367[[#This Row],[Inclusion Flag]]="Y",(Table1367[[#This Row],[Test_Volume]]+Table1367[[#This Row],[ReTest_Volume]])/2,"")</calculatedColumnFormula>
    </tableColumn>
    <tableColumn id="87" xr3:uid="{939915D5-DD2A-4ABD-815B-018E7FEC77A4}" name="Difference_Volume" dataDxfId="90">
      <calculatedColumnFormula>IF(Table1367[[#This Row],[Inclusion Flag]]="Y",(Table1367[[#This Row],[ReTest_Volume]]-Table1367[[#This Row],[Test_Volume]]),"")</calculatedColumnFormula>
    </tableColumn>
    <tableColumn id="88" xr3:uid="{CC098AA5-44D9-4375-8C9A-B9C3566043DE}" name="Pair_Variance V is sq(Diff)/2" dataDxfId="89">
      <calculatedColumnFormula>IF(Table1367[[#This Row],[Inclusion Flag]]="Y",(Table1367[[#This Row],[Difference_Volume]]^2)/2,"")</calculatedColumnFormula>
    </tableColumn>
    <tableColumn id="89" xr3:uid="{EB30528B-3007-43FD-AE00-BC2B56964696}" name="Pairwise_wCV   V/M^2" dataDxfId="88">
      <calculatedColumnFormula>IF(Table1367[[#This Row],[Inclusion Flag]]="Y",Table1367[[#This Row],[Pair_Variance V is sq(Diff)/2]]/(Table1367[[#This Row],[Average_Volume]]^2),"")</calculatedColumnFormula>
    </tableColumn>
    <tableColumn id="90" xr3:uid="{38D77A2C-0738-4E17-B813-1ABEF09F3F50}" name="Column9" dataDxfId="8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0F2B5E7-C495-4262-8431-1E9936A9E298}" name="Table138" displayName="Table138" ref="E4:M18" totalsRowShown="0" headerRowDxfId="75" dataDxfId="74">
  <autoFilter ref="E4:M18" xr:uid="{A6317117-1482-42D4-A4BD-305D01CE8831}"/>
  <tableColumns count="9">
    <tableColumn id="1" xr3:uid="{80539AC8-404B-4A0C-B1E9-0C3D20859FF2}" name="SubID" dataDxfId="84"/>
    <tableColumn id="83" xr3:uid="{7C266418-5D82-4A34-AB5C-1806B452F658}" name="T1 Test" dataDxfId="83">
      <calculatedColumnFormula>#REF!</calculatedColumnFormula>
    </tableColumn>
    <tableColumn id="84" xr3:uid="{3A61F154-6882-45CA-907B-5E8F1E0F5FDC}" name="T1 ReTest" dataDxfId="82">
      <calculatedColumnFormula>#REF!</calculatedColumnFormula>
    </tableColumn>
    <tableColumn id="85" xr3:uid="{93FA89FD-B52E-4E94-A175-478E496A2484}" name="Incl T2 TvsRT" dataDxfId="81"/>
    <tableColumn id="86" xr3:uid="{9DD1B695-1F14-4F4A-B97E-87A417F8B9A5}" name="Ave T2 TvsRT" dataDxfId="80">
      <calculatedColumnFormula>IF(Table138[[#This Row],[Incl T2 TvsRT]]="Y",(Table138[[#This Row],[T1 Test]]+Table138[[#This Row],[T1 ReTest]])/2,"")</calculatedColumnFormula>
    </tableColumn>
    <tableColumn id="87" xr3:uid="{97C809ED-B79C-470B-AE4B-D2B9705C21F7}" name="Diff T2 TvsRT" dataDxfId="79">
      <calculatedColumnFormula>IF(Table138[[#This Row],[Incl T2 TvsRT]]="Y",(Table138[[#This Row],[T1 ReTest]]-Table138[[#This Row],[T1 Test]]),"")</calculatedColumnFormula>
    </tableColumn>
    <tableColumn id="88" xr3:uid="{D2A19B94-E024-4980-80F8-090D829ADB18}" name="V T2 TvsRT" dataDxfId="78">
      <calculatedColumnFormula>IF(Table138[[#This Row],[Incl T2 TvsRT]]="Y",(Table138[[#This Row],[Diff T2 TvsRT]]^2)/2,"")</calculatedColumnFormula>
    </tableColumn>
    <tableColumn id="89" xr3:uid="{9E01E72D-2D7B-4897-8552-4DEFFECBA513}" name="V/M^2 T2 TvsRT" dataDxfId="77">
      <calculatedColumnFormula>IF(Table138[[#This Row],[Incl T2 TvsRT]]="Y",Table138[[#This Row],[V T2 TvsRT]]/(Table138[[#This Row],[Ave T2 TvsRT]]^2),"")</calculatedColumnFormula>
    </tableColumn>
    <tableColumn id="90" xr3:uid="{8FE466AB-06D0-43A1-9F39-7542CBC89736}" name="Column9" dataDxfId="7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C33E0-69BF-4941-BD7B-2085D43C55AE}">
  <dimension ref="D4:AB55"/>
  <sheetViews>
    <sheetView tabSelected="1" topLeftCell="D2" zoomScale="98" zoomScaleNormal="98" workbookViewId="0">
      <pane xSplit="1" ySplit="7" topLeftCell="J25" activePane="bottomRight" state="frozen"/>
      <selection activeCell="D2" sqref="D2"/>
      <selection pane="topRight" activeCell="G2" sqref="G2"/>
      <selection pane="bottomLeft" activeCell="D5" sqref="D5"/>
      <selection pane="bottomRight" activeCell="L43" sqref="L43"/>
    </sheetView>
  </sheetViews>
  <sheetFormatPr defaultRowHeight="14.6" x14ac:dyDescent="0.4"/>
  <cols>
    <col min="1" max="3" width="9.23046875" style="13"/>
    <col min="4" max="4" width="15.69140625" style="13" customWidth="1"/>
    <col min="5" max="5" width="16.53515625" style="13" customWidth="1"/>
    <col min="6" max="6" width="17.3046875" style="13" customWidth="1"/>
    <col min="7" max="7" width="9" style="13" customWidth="1"/>
    <col min="8" max="8" width="11.69140625" style="13" customWidth="1"/>
    <col min="9" max="9" width="11.53515625" style="13" customWidth="1"/>
    <col min="10" max="10" width="13.53515625" style="13" customWidth="1"/>
    <col min="11" max="11" width="13.84375" style="13" customWidth="1"/>
    <col min="12" max="12" width="12.69140625" style="13" customWidth="1"/>
    <col min="13" max="13" width="18" style="13" customWidth="1"/>
    <col min="14" max="14" width="19.3828125" style="13" customWidth="1"/>
    <col min="15" max="15" width="10.3046875" style="13" customWidth="1"/>
    <col min="16" max="16" width="13.3046875" style="13" customWidth="1"/>
    <col min="17" max="17" width="15.3046875" style="13" customWidth="1"/>
    <col min="18" max="18" width="14.3828125" style="13" customWidth="1"/>
    <col min="19" max="19" width="15.15234375" style="13" customWidth="1"/>
    <col min="20" max="28" width="12.69140625" style="13" customWidth="1"/>
    <col min="29" max="16384" width="9.23046875" style="13"/>
  </cols>
  <sheetData>
    <row r="4" spans="4:28" s="13" customFormat="1" ht="23.25" customHeight="1" x14ac:dyDescent="0.4">
      <c r="E4" s="3"/>
      <c r="F4" s="3"/>
      <c r="G4" s="3"/>
      <c r="H4" s="3"/>
      <c r="I4" s="3"/>
      <c r="N4" s="3"/>
    </row>
    <row r="5" spans="4:28" s="13" customFormat="1" ht="23.25" customHeight="1" x14ac:dyDescent="0.4">
      <c r="E5" s="12"/>
      <c r="F5" s="12"/>
      <c r="G5" s="12"/>
      <c r="H5" s="12"/>
      <c r="I5" s="12"/>
      <c r="J5" s="12"/>
      <c r="K5" s="12"/>
      <c r="L5" s="12"/>
      <c r="M5" s="3"/>
      <c r="N5" s="3"/>
    </row>
    <row r="6" spans="4:28" s="13" customFormat="1" ht="23.25" customHeight="1" x14ac:dyDescent="0.4">
      <c r="E6" s="12"/>
      <c r="F6" s="12"/>
      <c r="G6" s="12"/>
      <c r="H6" s="12"/>
      <c r="I6" s="12"/>
      <c r="J6" s="12"/>
      <c r="K6" s="12"/>
      <c r="L6" s="12"/>
      <c r="M6" s="3"/>
      <c r="N6" s="3"/>
    </row>
    <row r="7" spans="4:28" s="13" customFormat="1" ht="14.25" customHeight="1" x14ac:dyDescent="0.4">
      <c r="E7" s="13" t="s">
        <v>73</v>
      </c>
      <c r="M7" s="13" t="s">
        <v>74</v>
      </c>
    </row>
    <row r="8" spans="4:28" s="13" customFormat="1" ht="44.25" customHeight="1" x14ac:dyDescent="0.4">
      <c r="D8" s="14" t="s">
        <v>82</v>
      </c>
      <c r="E8" s="14" t="s">
        <v>83</v>
      </c>
      <c r="F8" s="14" t="s">
        <v>84</v>
      </c>
      <c r="G8" s="14" t="s">
        <v>90</v>
      </c>
      <c r="H8" s="14" t="s">
        <v>85</v>
      </c>
      <c r="I8" s="14" t="s">
        <v>86</v>
      </c>
      <c r="J8" s="14" t="s">
        <v>92</v>
      </c>
      <c r="K8" s="14" t="s">
        <v>91</v>
      </c>
      <c r="L8" s="13" t="s">
        <v>93</v>
      </c>
      <c r="M8" s="14" t="s">
        <v>87</v>
      </c>
      <c r="N8" s="14" t="s">
        <v>96</v>
      </c>
      <c r="O8" s="14" t="s">
        <v>97</v>
      </c>
      <c r="P8" s="14" t="s">
        <v>88</v>
      </c>
      <c r="Q8" s="14" t="s">
        <v>89</v>
      </c>
      <c r="R8" s="14" t="s">
        <v>120</v>
      </c>
      <c r="S8" s="14" t="s">
        <v>130</v>
      </c>
      <c r="T8" s="13" t="s">
        <v>42</v>
      </c>
      <c r="U8" s="13" t="s">
        <v>0</v>
      </c>
      <c r="V8" s="13" t="s">
        <v>75</v>
      </c>
      <c r="W8" s="13" t="s">
        <v>76</v>
      </c>
      <c r="X8" s="13" t="s">
        <v>77</v>
      </c>
      <c r="Y8" s="13" t="s">
        <v>78</v>
      </c>
      <c r="Z8" s="13" t="s">
        <v>79</v>
      </c>
      <c r="AA8" s="13" t="s">
        <v>80</v>
      </c>
      <c r="AB8" s="13" t="s">
        <v>43</v>
      </c>
    </row>
    <row r="9" spans="4:28" s="13" customFormat="1" x14ac:dyDescent="0.4">
      <c r="D9" s="13" t="s">
        <v>61</v>
      </c>
      <c r="E9" s="13">
        <v>6.10580327</v>
      </c>
      <c r="F9" s="13">
        <v>4.1701404700000007</v>
      </c>
      <c r="G9" s="15" t="s">
        <v>1</v>
      </c>
      <c r="H9" s="13">
        <f>IF(Table1[[#This Row],[Inclusion Flag]]="Y",(Table1[[#This Row],[Test_Volume]]+Table1[[#This Row],[ReTest_Volume]])/2,"")</f>
        <v>5.1379718700000003</v>
      </c>
      <c r="I9" s="13">
        <f>IF(Table1[[#This Row],[Inclusion Flag]]="Y",(Table1[[#This Row],[ReTest_Volume]]-Table1[[#This Row],[Test_Volume]]),"")</f>
        <v>-1.9356627999999994</v>
      </c>
      <c r="J9" s="13">
        <f>IF(Table1[[#This Row],[Inclusion Flag]]="Y",(Table1[[#This Row],[Difference_Volume]]^2)/2,"")</f>
        <v>1.8733952376519187</v>
      </c>
      <c r="K9" s="13">
        <f>IF(Table1[[#This Row],[Inclusion Flag]]="Y",Table1[[#This Row],[Pair_Variance V is sq(Diff)/2]]/(Table1[[#This Row],[Average_Volume]]^2),"")</f>
        <v>7.096528764818745E-2</v>
      </c>
      <c r="M9" s="13">
        <v>5.9990385700000006</v>
      </c>
      <c r="N9" s="13">
        <v>4.3533459900000002</v>
      </c>
      <c r="O9" s="15" t="s">
        <v>1</v>
      </c>
      <c r="P9" s="13">
        <f>IF(Table1[[#This Row],[Inclusion Flag2]]="Y",(Table1[[#This Row],[Test_Volume2]]+Table1[[#This Row],[ReTest_Volume2]])/2,"")</f>
        <v>5.1761922800000004</v>
      </c>
      <c r="Q9" s="13">
        <f>IF(Table1[[#This Row],[Inclusion Flag2]]="Y",Table1[[#This Row],[ReTest_Volume2]]-Table1[[#This Row],[Test_Volume2]],"")</f>
        <v>-1.6456925800000004</v>
      </c>
      <c r="R9" s="13">
        <f>IF(Table1[[#This Row],[Inclusion Flag2]]="Y",(Table1[[#This Row],[Difference_Volume2]]^2)/2,"")</f>
        <v>1.3541520339335289</v>
      </c>
      <c r="S9" s="13">
        <f>IF(Table1[[#This Row],[Inclusion Flag2]]="Y",Table1[[#This Row],[Pair_Variance V2 is sq(Diff)/2]]/(Table1[[#This Row],[Average_Volume2]]^2),"")</f>
        <v>5.0541325199894377E-2</v>
      </c>
      <c r="W9" s="15"/>
    </row>
    <row r="10" spans="4:28" s="13" customFormat="1" ht="19.5" customHeight="1" x14ac:dyDescent="0.4">
      <c r="D10" s="13" t="s">
        <v>49</v>
      </c>
      <c r="E10" s="13">
        <v>6.8569467050000004</v>
      </c>
      <c r="F10" s="13">
        <v>4.4544250949999995</v>
      </c>
      <c r="G10" s="15" t="s">
        <v>1</v>
      </c>
      <c r="H10" s="13">
        <f>IF(Table1[[#This Row],[Inclusion Flag]]="Y",(Table1[[#This Row],[Test_Volume]]+Table1[[#This Row],[ReTest_Volume]])/2,"")</f>
        <v>5.6556858999999999</v>
      </c>
      <c r="I10" s="13">
        <f>IF(Table1[[#This Row],[Inclusion Flag]]="Y",(Table1[[#This Row],[ReTest_Volume]]-Table1[[#This Row],[Test_Volume]]),"")</f>
        <v>-2.4025216100000009</v>
      </c>
      <c r="J10" s="13">
        <f>IF(Table1[[#This Row],[Inclusion Flag]]="Y",(Table1[[#This Row],[Difference_Volume]]^2)/2,"")</f>
        <v>2.8860550432584979</v>
      </c>
      <c r="K10" s="13">
        <f>IF(Table1[[#This Row],[Inclusion Flag]]="Y",Table1[[#This Row],[Pair_Variance V is sq(Diff)/2]]/(Table1[[#This Row],[Average_Volume]]^2),"")</f>
        <v>9.0226486461840422E-2</v>
      </c>
      <c r="M10" s="13">
        <v>6.6630016545000004</v>
      </c>
      <c r="N10" s="13">
        <v>4.7924083455000002</v>
      </c>
      <c r="O10" s="15" t="s">
        <v>1</v>
      </c>
      <c r="P10" s="13">
        <f>IF(Table1[[#This Row],[Inclusion Flag2]]="Y",(Table1[[#This Row],[Test_Volume2]]+Table1[[#This Row],[ReTest_Volume2]])/2,"")</f>
        <v>5.7277050000000003</v>
      </c>
      <c r="Q10" s="13">
        <f>IF(Table1[[#This Row],[Inclusion Flag2]]="Y",Table1[[#This Row],[ReTest_Volume2]]-Table1[[#This Row],[Test_Volume2]],"")</f>
        <v>-1.8705933090000002</v>
      </c>
      <c r="R10" s="13">
        <f>IF(Table1[[#This Row],[Inclusion Flag2]]="Y",(Table1[[#This Row],[Difference_Volume2]]^2)/2,"")</f>
        <v>1.7495596638377851</v>
      </c>
      <c r="S10" s="13">
        <f>IF(Table1[[#This Row],[Inclusion Flag2]]="Y",Table1[[#This Row],[Pair_Variance V2 is sq(Diff)/2]]/(Table1[[#This Row],[Average_Volume2]]^2),"")</f>
        <v>5.3329495293040013E-2</v>
      </c>
      <c r="W10" s="15"/>
    </row>
    <row r="11" spans="4:28" s="13" customFormat="1" ht="17.25" customHeight="1" x14ac:dyDescent="0.4">
      <c r="D11" s="13" t="s">
        <v>50</v>
      </c>
      <c r="E11" s="13">
        <v>8.934752306</v>
      </c>
      <c r="F11" s="13">
        <v>8.0623141740000008</v>
      </c>
      <c r="G11" s="15" t="s">
        <v>1</v>
      </c>
      <c r="H11" s="13">
        <f>IF(Table1[[#This Row],[Inclusion Flag]]="Y",(Table1[[#This Row],[Test_Volume]]+Table1[[#This Row],[ReTest_Volume]])/2,"")</f>
        <v>8.4985332400000004</v>
      </c>
      <c r="I11" s="13">
        <f>IF(Table1[[#This Row],[Inclusion Flag]]="Y",(Table1[[#This Row],[ReTest_Volume]]-Table1[[#This Row],[Test_Volume]]),"")</f>
        <v>-0.8724381319999992</v>
      </c>
      <c r="J11" s="13">
        <f>IF(Table1[[#This Row],[Inclusion Flag]]="Y",(Table1[[#This Row],[Difference_Volume]]^2)/2,"")</f>
        <v>0.38057414708382403</v>
      </c>
      <c r="K11" s="13">
        <f>IF(Table1[[#This Row],[Inclusion Flag]]="Y",Table1[[#This Row],[Pair_Variance V is sq(Diff)/2]]/(Table1[[#This Row],[Average_Volume]]^2),"")</f>
        <v>5.2692806205993838E-3</v>
      </c>
      <c r="M11" s="13">
        <v>9.3150618549999997</v>
      </c>
      <c r="N11" s="13">
        <v>7.8437306249999992</v>
      </c>
      <c r="O11" s="15" t="s">
        <v>1</v>
      </c>
      <c r="P11" s="13">
        <f>IF(Table1[[#This Row],[Inclusion Flag2]]="Y",(Table1[[#This Row],[Test_Volume2]]+Table1[[#This Row],[ReTest_Volume2]])/2,"")</f>
        <v>8.5793962399999995</v>
      </c>
      <c r="Q11" s="13">
        <f>IF(Table1[[#This Row],[Inclusion Flag2]]="Y",Table1[[#This Row],[ReTest_Volume2]]-Table1[[#This Row],[Test_Volume2]],"")</f>
        <v>-1.4713312300000005</v>
      </c>
      <c r="R11" s="13">
        <f>IF(Table1[[#This Row],[Inclusion Flag2]]="Y",(Table1[[#This Row],[Difference_Volume2]]^2)/2,"")</f>
        <v>1.0824077941866572</v>
      </c>
      <c r="S11" s="13">
        <f>IF(Table1[[#This Row],[Inclusion Flag2]]="Y",Table1[[#This Row],[Pair_Variance V2 is sq(Diff)/2]]/(Table1[[#This Row],[Average_Volume2]]^2),"")</f>
        <v>1.4705420866229113E-2</v>
      </c>
      <c r="W11" s="15"/>
    </row>
    <row r="12" spans="4:28" s="13" customFormat="1" ht="18" customHeight="1" x14ac:dyDescent="0.4">
      <c r="D12" s="13" t="s">
        <v>50</v>
      </c>
      <c r="E12" s="13">
        <v>8.8292510985000003</v>
      </c>
      <c r="F12" s="13">
        <v>8.4811603014999992</v>
      </c>
      <c r="G12" s="15" t="s">
        <v>1</v>
      </c>
      <c r="H12" s="13">
        <f>IF(Table1[[#This Row],[Inclusion Flag]]="Y",(Table1[[#This Row],[Test_Volume]]+Table1[[#This Row],[ReTest_Volume]])/2,"")</f>
        <v>8.6552056999999998</v>
      </c>
      <c r="I12" s="13">
        <f>IF(Table1[[#This Row],[Inclusion Flag]]="Y",(Table1[[#This Row],[ReTest_Volume]]-Table1[[#This Row],[Test_Volume]]),"")</f>
        <v>-0.34809079700000112</v>
      </c>
      <c r="J12" s="13">
        <f>IF(Table1[[#This Row],[Inclusion Flag]]="Y",(Table1[[#This Row],[Difference_Volume]]^2)/2,"")</f>
        <v>6.0583601478047991E-2</v>
      </c>
      <c r="K12" s="13">
        <f>IF(Table1[[#This Row],[Inclusion Flag]]="Y",Table1[[#This Row],[Pair_Variance V is sq(Diff)/2]]/(Table1[[#This Row],[Average_Volume]]^2),"")</f>
        <v>8.0872394010178669E-4</v>
      </c>
      <c r="M12" s="13">
        <v>8.8703137425000005</v>
      </c>
      <c r="N12" s="13">
        <v>8.2897412574999993</v>
      </c>
      <c r="O12" s="15" t="s">
        <v>1</v>
      </c>
      <c r="P12" s="13">
        <f>IF(Table1[[#This Row],[Inclusion Flag2]]="Y",(Table1[[#This Row],[Test_Volume2]]+Table1[[#This Row],[ReTest_Volume2]])/2,"")</f>
        <v>8.5800274999999999</v>
      </c>
      <c r="Q12" s="13">
        <f>IF(Table1[[#This Row],[Inclusion Flag2]]="Y",Table1[[#This Row],[ReTest_Volume2]]-Table1[[#This Row],[Test_Volume2]],"")</f>
        <v>-0.58057248500000114</v>
      </c>
      <c r="R12" s="13">
        <f>IF(Table1[[#This Row],[Inclusion Flag2]]="Y",(Table1[[#This Row],[Difference_Volume2]]^2)/2,"")</f>
        <v>0.16853220516953826</v>
      </c>
      <c r="S12" s="13">
        <f>IF(Table1[[#This Row],[Inclusion Flag2]]="Y",Table1[[#This Row],[Pair_Variance V2 is sq(Diff)/2]]/(Table1[[#This Row],[Average_Volume2]]^2),"")</f>
        <v>2.2893149466706284E-3</v>
      </c>
      <c r="W12" s="15"/>
    </row>
    <row r="13" spans="4:28" s="13" customFormat="1" ht="15" customHeight="1" x14ac:dyDescent="0.4">
      <c r="D13" s="13" t="s">
        <v>50</v>
      </c>
      <c r="E13" s="13">
        <v>8.1899260270000003</v>
      </c>
      <c r="F13" s="13">
        <v>7.9208031889999999</v>
      </c>
      <c r="G13" s="15" t="s">
        <v>1</v>
      </c>
      <c r="H13" s="13">
        <f>IF(Table1[[#This Row],[Inclusion Flag]]="Y",(Table1[[#This Row],[Test_Volume]]+Table1[[#This Row],[ReTest_Volume]])/2,"")</f>
        <v>8.0553646079999996</v>
      </c>
      <c r="I13" s="13">
        <f>IF(Table1[[#This Row],[Inclusion Flag]]="Y",(Table1[[#This Row],[ReTest_Volume]]-Table1[[#This Row],[Test_Volume]]),"")</f>
        <v>-0.26912283800000036</v>
      </c>
      <c r="J13" s="13">
        <f>IF(Table1[[#This Row],[Inclusion Flag]]="Y",(Table1[[#This Row],[Difference_Volume]]^2)/2,"")</f>
        <v>3.6213550966587217E-2</v>
      </c>
      <c r="K13" s="13">
        <f>IF(Table1[[#This Row],[Inclusion Flag]]="Y",Table1[[#This Row],[Pair_Variance V is sq(Diff)/2]]/(Table1[[#This Row],[Average_Volume]]^2),"")</f>
        <v>5.5808545903278416E-4</v>
      </c>
      <c r="M13" s="13">
        <v>8.0749483703500005</v>
      </c>
      <c r="N13" s="13">
        <v>7.5329121946499997</v>
      </c>
      <c r="O13" s="15" t="s">
        <v>1</v>
      </c>
      <c r="P13" s="13">
        <f>IF(Table1[[#This Row],[Inclusion Flag2]]="Y",(Table1[[#This Row],[Test_Volume2]]+Table1[[#This Row],[ReTest_Volume2]])/2,"")</f>
        <v>7.8039302824999996</v>
      </c>
      <c r="Q13" s="13">
        <f>IF(Table1[[#This Row],[Inclusion Flag2]]="Y",Table1[[#This Row],[ReTest_Volume2]]-Table1[[#This Row],[Test_Volume2]],"")</f>
        <v>-0.54203617570000073</v>
      </c>
      <c r="R13" s="13">
        <f>IF(Table1[[#This Row],[Inclusion Flag2]]="Y",(Table1[[#This Row],[Difference_Volume2]]^2)/2,"")</f>
        <v>0.14690160788374104</v>
      </c>
      <c r="S13" s="13">
        <f>IF(Table1[[#This Row],[Inclusion Flag2]]="Y",Table1[[#This Row],[Pair_Variance V2 is sq(Diff)/2]]/(Table1[[#This Row],[Average_Volume2]]^2),"")</f>
        <v>2.4121248757600256E-3</v>
      </c>
      <c r="W13" s="15"/>
    </row>
    <row r="14" spans="4:28" s="13" customFormat="1" ht="17.25" customHeight="1" x14ac:dyDescent="0.4">
      <c r="D14" s="13" t="s">
        <v>51</v>
      </c>
      <c r="E14" s="13">
        <v>7.6965339400500001</v>
      </c>
      <c r="F14" s="13">
        <v>7.5038521059500001</v>
      </c>
      <c r="G14" s="15" t="s">
        <v>1</v>
      </c>
      <c r="H14" s="13">
        <f>IF(Table1[[#This Row],[Inclusion Flag]]="Y",(Table1[[#This Row],[Test_Volume]]+Table1[[#This Row],[ReTest_Volume]])/2,"")</f>
        <v>7.6001930230000001</v>
      </c>
      <c r="I14" s="13">
        <f>IF(Table1[[#This Row],[Inclusion Flag]]="Y",(Table1[[#This Row],[ReTest_Volume]]-Table1[[#This Row],[Test_Volume]]),"")</f>
        <v>-0.19268183410000006</v>
      </c>
      <c r="J14" s="13">
        <f>IF(Table1[[#This Row],[Inclusion Flag]]="Y",(Table1[[#This Row],[Difference_Volume]]^2)/2,"")</f>
        <v>1.8563144596069971E-2</v>
      </c>
      <c r="K14" s="13">
        <f>IF(Table1[[#This Row],[Inclusion Flag]]="Y",Table1[[#This Row],[Pair_Variance V is sq(Diff)/2]]/(Table1[[#This Row],[Average_Volume]]^2),"")</f>
        <v>3.2136775809022138E-4</v>
      </c>
      <c r="M14" s="13">
        <v>7.7211723660000002</v>
      </c>
      <c r="N14" s="13">
        <v>7.4779510159999996</v>
      </c>
      <c r="O14" s="15" t="s">
        <v>1</v>
      </c>
      <c r="P14" s="13">
        <f>IF(Table1[[#This Row],[Inclusion Flag2]]="Y",(Table1[[#This Row],[Test_Volume2]]+Table1[[#This Row],[ReTest_Volume2]])/2,"")</f>
        <v>7.5995616909999999</v>
      </c>
      <c r="Q14" s="13">
        <f>IF(Table1[[#This Row],[Inclusion Flag2]]="Y",Table1[[#This Row],[ReTest_Volume2]]-Table1[[#This Row],[Test_Volume2]],"")</f>
        <v>-0.24322135000000067</v>
      </c>
      <c r="R14" s="13">
        <f>IF(Table1[[#This Row],[Inclusion Flag2]]="Y",(Table1[[#This Row],[Difference_Volume2]]^2)/2,"")</f>
        <v>2.9578312547911413E-2</v>
      </c>
      <c r="S14" s="13">
        <f>IF(Table1[[#This Row],[Inclusion Flag2]]="Y",Table1[[#This Row],[Pair_Variance V2 is sq(Diff)/2]]/(Table1[[#This Row],[Average_Volume2]]^2),"")</f>
        <v>5.1214897053267888E-4</v>
      </c>
      <c r="W14" s="15"/>
    </row>
    <row r="15" spans="4:28" s="13" customFormat="1" ht="18" customHeight="1" x14ac:dyDescent="0.4">
      <c r="D15" s="13" t="s">
        <v>51</v>
      </c>
      <c r="E15" s="13">
        <v>9.328960330000001</v>
      </c>
      <c r="F15" s="13">
        <v>8.1046410299999998</v>
      </c>
      <c r="G15" s="15" t="s">
        <v>1</v>
      </c>
      <c r="H15" s="13">
        <f>IF(Table1[[#This Row],[Inclusion Flag]]="Y",(Table1[[#This Row],[Test_Volume]]+Table1[[#This Row],[ReTest_Volume]])/2,"")</f>
        <v>8.7168006800000004</v>
      </c>
      <c r="I15" s="13">
        <f>IF(Table1[[#This Row],[Inclusion Flag]]="Y",(Table1[[#This Row],[ReTest_Volume]]-Table1[[#This Row],[Test_Volume]]),"")</f>
        <v>-1.2243193000000012</v>
      </c>
      <c r="J15" s="13">
        <f>IF(Table1[[#This Row],[Inclusion Flag]]="Y",(Table1[[#This Row],[Difference_Volume]]^2)/2,"")</f>
        <v>0.74947887417624648</v>
      </c>
      <c r="K15" s="13">
        <f>IF(Table1[[#This Row],[Inclusion Flag]]="Y",Table1[[#This Row],[Pair_Variance V is sq(Diff)/2]]/(Table1[[#This Row],[Average_Volume]]^2),"")</f>
        <v>9.8638206003373117E-3</v>
      </c>
      <c r="M15" s="13">
        <v>8.9991896049999998</v>
      </c>
      <c r="N15" s="13">
        <v>7.9176442549999999</v>
      </c>
      <c r="O15" s="15" t="s">
        <v>1</v>
      </c>
      <c r="P15" s="13">
        <f>IF(Table1[[#This Row],[Inclusion Flag2]]="Y",(Table1[[#This Row],[Test_Volume2]]+Table1[[#This Row],[ReTest_Volume2]])/2,"")</f>
        <v>8.4584169300000003</v>
      </c>
      <c r="Q15" s="13">
        <f>IF(Table1[[#This Row],[Inclusion Flag2]]="Y",Table1[[#This Row],[ReTest_Volume2]]-Table1[[#This Row],[Test_Volume2]],"")</f>
        <v>-1.0815453499999998</v>
      </c>
      <c r="R15" s="13">
        <f>IF(Table1[[#This Row],[Inclusion Flag2]]="Y",(Table1[[#This Row],[Difference_Volume2]]^2)/2,"")</f>
        <v>0.58487017205331104</v>
      </c>
      <c r="S15" s="13">
        <f>IF(Table1[[#This Row],[Inclusion Flag2]]="Y",Table1[[#This Row],[Pair_Variance V2 is sq(Diff)/2]]/(Table1[[#This Row],[Average_Volume2]]^2),"")</f>
        <v>8.1748783055287152E-3</v>
      </c>
      <c r="W15" s="15"/>
    </row>
    <row r="16" spans="4:28" s="13" customFormat="1" ht="16.5" customHeight="1" x14ac:dyDescent="0.4">
      <c r="D16" s="13" t="s">
        <v>52</v>
      </c>
      <c r="E16" s="13">
        <v>7.0559459640000002</v>
      </c>
      <c r="F16" s="13">
        <v>6.6484712640000003</v>
      </c>
      <c r="G16" s="15" t="s">
        <v>1</v>
      </c>
      <c r="H16" s="13">
        <f>IF(Table1[[#This Row],[Inclusion Flag]]="Y",(Table1[[#This Row],[Test_Volume]]+Table1[[#This Row],[ReTest_Volume]])/2,"")</f>
        <v>6.8522086140000003</v>
      </c>
      <c r="I16" s="13">
        <f>IF(Table1[[#This Row],[Inclusion Flag]]="Y",(Table1[[#This Row],[ReTest_Volume]]-Table1[[#This Row],[Test_Volume]]),"")</f>
        <v>-0.40747469999999986</v>
      </c>
      <c r="J16" s="13">
        <f>IF(Table1[[#This Row],[Inclusion Flag]]="Y",(Table1[[#This Row],[Difference_Volume]]^2)/2,"")</f>
        <v>8.3017815570044937E-2</v>
      </c>
      <c r="K16" s="13">
        <f>IF(Table1[[#This Row],[Inclusion Flag]]="Y",Table1[[#This Row],[Pair_Variance V is sq(Diff)/2]]/(Table1[[#This Row],[Average_Volume]]^2),"")</f>
        <v>1.768113534978417E-3</v>
      </c>
      <c r="M16" s="13">
        <v>7.2486283774500002</v>
      </c>
      <c r="N16" s="13">
        <v>6.4570534225500005</v>
      </c>
      <c r="O16" s="15" t="s">
        <v>1</v>
      </c>
      <c r="P16" s="13">
        <f>IF(Table1[[#This Row],[Inclusion Flag2]]="Y",(Table1[[#This Row],[Test_Volume2]]+Table1[[#This Row],[ReTest_Volume2]])/2,"")</f>
        <v>6.8528409000000003</v>
      </c>
      <c r="Q16" s="13">
        <f>IF(Table1[[#This Row],[Inclusion Flag2]]="Y",Table1[[#This Row],[ReTest_Volume2]]-Table1[[#This Row],[Test_Volume2]],"")</f>
        <v>-0.79157495489999974</v>
      </c>
      <c r="R16" s="13">
        <f>IF(Table1[[#This Row],[Inclusion Flag2]]="Y",(Table1[[#This Row],[Difference_Volume2]]^2)/2,"")</f>
        <v>0.31329545461246833</v>
      </c>
      <c r="S16" s="13">
        <f>IF(Table1[[#This Row],[Inclusion Flag2]]="Y",Table1[[#This Row],[Pair_Variance V2 is sq(Diff)/2]]/(Table1[[#This Row],[Average_Volume2]]^2),"")</f>
        <v>6.6713357170309776E-3</v>
      </c>
      <c r="W16" s="15"/>
    </row>
    <row r="17" spans="4:23" s="13" customFormat="1" ht="17.25" customHeight="1" x14ac:dyDescent="0.4">
      <c r="D17" s="13" t="s">
        <v>52</v>
      </c>
      <c r="E17" s="13">
        <v>6.7571317649999996</v>
      </c>
      <c r="F17" s="13">
        <v>6.5031707750000001</v>
      </c>
      <c r="G17" s="15" t="s">
        <v>1</v>
      </c>
      <c r="H17" s="13">
        <f>IF(Table1[[#This Row],[Inclusion Flag]]="Y",(Table1[[#This Row],[Test_Volume]]+Table1[[#This Row],[ReTest_Volume]])/2,"")</f>
        <v>6.6301512699999998</v>
      </c>
      <c r="I17" s="13">
        <f>IF(Table1[[#This Row],[Inclusion Flag]]="Y",(Table1[[#This Row],[ReTest_Volume]]-Table1[[#This Row],[Test_Volume]]),"")</f>
        <v>-0.2539609899999995</v>
      </c>
      <c r="J17" s="13">
        <f>IF(Table1[[#This Row],[Inclusion Flag]]="Y",(Table1[[#This Row],[Difference_Volume]]^2)/2,"")</f>
        <v>3.2248092220889923E-2</v>
      </c>
      <c r="K17" s="13">
        <f>IF(Table1[[#This Row],[Inclusion Flag]]="Y",Table1[[#This Row],[Pair_Variance V is sq(Diff)/2]]/(Table1[[#This Row],[Average_Volume]]^2),"")</f>
        <v>7.3359633475255314E-4</v>
      </c>
      <c r="M17" s="13">
        <v>6.9213845419999993</v>
      </c>
      <c r="N17" s="13">
        <v>6.5619223419999999</v>
      </c>
      <c r="O17" s="15" t="s">
        <v>1</v>
      </c>
      <c r="P17" s="13">
        <f>IF(Table1[[#This Row],[Inclusion Flag2]]="Y",(Table1[[#This Row],[Test_Volume2]]+Table1[[#This Row],[ReTest_Volume2]])/2,"")</f>
        <v>6.7416534419999996</v>
      </c>
      <c r="Q17" s="13">
        <f>IF(Table1[[#This Row],[Inclusion Flag2]]="Y",Table1[[#This Row],[ReTest_Volume2]]-Table1[[#This Row],[Test_Volume2]],"")</f>
        <v>-0.3594621999999994</v>
      </c>
      <c r="R17" s="13">
        <f>IF(Table1[[#This Row],[Inclusion Flag2]]="Y",(Table1[[#This Row],[Difference_Volume2]]^2)/2,"")</f>
        <v>6.4606536614419785E-2</v>
      </c>
      <c r="S17" s="13">
        <f>IF(Table1[[#This Row],[Inclusion Flag2]]="Y",Table1[[#This Row],[Pair_Variance V2 is sq(Diff)/2]]/(Table1[[#This Row],[Average_Volume2]]^2),"")</f>
        <v>1.4214893590556667E-3</v>
      </c>
      <c r="W17" s="15"/>
    </row>
    <row r="18" spans="4:23" s="13" customFormat="1" x14ac:dyDescent="0.4">
      <c r="D18" s="13" t="s">
        <v>52</v>
      </c>
      <c r="E18" s="13">
        <v>6.6446805399999995</v>
      </c>
      <c r="F18" s="13">
        <v>7.1058535000000003</v>
      </c>
      <c r="G18" s="15" t="s">
        <v>1</v>
      </c>
      <c r="H18" s="13">
        <f>IF(Table1[[#This Row],[Inclusion Flag]]="Y",(Table1[[#This Row],[Test_Volume]]+Table1[[#This Row],[ReTest_Volume]])/2,"")</f>
        <v>6.8752670199999999</v>
      </c>
      <c r="I18" s="13">
        <f>IF(Table1[[#This Row],[Inclusion Flag]]="Y",(Table1[[#This Row],[ReTest_Volume]]-Table1[[#This Row],[Test_Volume]]),"")</f>
        <v>0.46117296000000074</v>
      </c>
      <c r="J18" s="13">
        <f>IF(Table1[[#This Row],[Inclusion Flag]]="Y",(Table1[[#This Row],[Difference_Volume]]^2)/2,"")</f>
        <v>0.10634024951758114</v>
      </c>
      <c r="K18" s="13">
        <f>IF(Table1[[#This Row],[Inclusion Flag]]="Y",Table1[[#This Row],[Pair_Variance V is sq(Diff)/2]]/(Table1[[#This Row],[Average_Volume]]^2),"")</f>
        <v>2.24966854120494E-3</v>
      </c>
      <c r="M18" s="13">
        <v>6.2081463330000002</v>
      </c>
      <c r="N18" s="13">
        <v>7.219568013</v>
      </c>
      <c r="O18" s="15" t="s">
        <v>1</v>
      </c>
      <c r="P18" s="13">
        <f>IF(Table1[[#This Row],[Inclusion Flag2]]="Y",(Table1[[#This Row],[Test_Volume2]]+Table1[[#This Row],[ReTest_Volume2]])/2,"")</f>
        <v>6.7138571730000001</v>
      </c>
      <c r="Q18" s="13">
        <f>IF(Table1[[#This Row],[Inclusion Flag2]]="Y",Table1[[#This Row],[ReTest_Volume2]]-Table1[[#This Row],[Test_Volume2]],"")</f>
        <v>1.0114216799999998</v>
      </c>
      <c r="R18" s="13">
        <f>IF(Table1[[#This Row],[Inclusion Flag2]]="Y",(Table1[[#This Row],[Difference_Volume2]]^2)/2,"")</f>
        <v>0.51148690738701097</v>
      </c>
      <c r="S18" s="13">
        <f>IF(Table1[[#This Row],[Inclusion Flag2]]="Y",Table1[[#This Row],[Pair_Variance V2 is sq(Diff)/2]]/(Table1[[#This Row],[Average_Volume2]]^2),"")</f>
        <v>1.1347242216883966E-2</v>
      </c>
      <c r="W18" s="15"/>
    </row>
    <row r="19" spans="4:23" s="13" customFormat="1" x14ac:dyDescent="0.4">
      <c r="D19" s="13" t="s">
        <v>52</v>
      </c>
      <c r="E19" s="13">
        <v>7.1519713879999998</v>
      </c>
      <c r="F19" s="13">
        <v>7.1942982180000001</v>
      </c>
      <c r="G19" s="15" t="s">
        <v>1</v>
      </c>
      <c r="H19" s="13">
        <f>IF(Table1[[#This Row],[Inclusion Flag]]="Y",(Table1[[#This Row],[Test_Volume]]+Table1[[#This Row],[ReTest_Volume]])/2,"")</f>
        <v>7.1731348029999999</v>
      </c>
      <c r="I19" s="13">
        <f>IF(Table1[[#This Row],[Inclusion Flag]]="Y",(Table1[[#This Row],[ReTest_Volume]]-Table1[[#This Row],[Test_Volume]]),"")</f>
        <v>4.2326830000000371E-2</v>
      </c>
      <c r="J19" s="13">
        <f>IF(Table1[[#This Row],[Inclusion Flag]]="Y",(Table1[[#This Row],[Difference_Volume]]^2)/2,"")</f>
        <v>8.957802689244657E-4</v>
      </c>
      <c r="K19" s="13">
        <f>IF(Table1[[#This Row],[Inclusion Flag]]="Y",Table1[[#This Row],[Pair_Variance V is sq(Diff)/2]]/(Table1[[#This Row],[Average_Volume]]^2),"")</f>
        <v>1.7409388108146795E-5</v>
      </c>
      <c r="M19" s="13">
        <v>7.0559464269823993</v>
      </c>
      <c r="N19" s="13">
        <v>7.0850066369824001</v>
      </c>
      <c r="O19" s="15" t="s">
        <v>1</v>
      </c>
      <c r="P19" s="13">
        <f>IF(Table1[[#This Row],[Inclusion Flag2]]="Y",(Table1[[#This Row],[Test_Volume2]]+Table1[[#This Row],[ReTest_Volume2]])/2,"")</f>
        <v>7.0704765319823997</v>
      </c>
      <c r="Q19" s="13">
        <f>IF(Table1[[#This Row],[Inclusion Flag2]]="Y",Table1[[#This Row],[ReTest_Volume2]]-Table1[[#This Row],[Test_Volume2]],"")</f>
        <v>2.9060210000000808E-2</v>
      </c>
      <c r="R19" s="13">
        <f>IF(Table1[[#This Row],[Inclusion Flag2]]="Y",(Table1[[#This Row],[Difference_Volume2]]^2)/2,"")</f>
        <v>4.2224790262207349E-4</v>
      </c>
      <c r="S19" s="13">
        <f>IF(Table1[[#This Row],[Inclusion Flag2]]="Y",Table1[[#This Row],[Pair_Variance V2 is sq(Diff)/2]]/(Table1[[#This Row],[Average_Volume2]]^2),"")</f>
        <v>8.4463705576877551E-6</v>
      </c>
      <c r="W19" s="15"/>
    </row>
    <row r="20" spans="4:23" s="13" customFormat="1" x14ac:dyDescent="0.4">
      <c r="D20" s="13" t="s">
        <v>53</v>
      </c>
      <c r="E20" s="13">
        <v>7.3579198200000002</v>
      </c>
      <c r="F20" s="13">
        <v>7.4937447199999996</v>
      </c>
      <c r="G20" s="15" t="s">
        <v>1</v>
      </c>
      <c r="H20" s="13">
        <f>IF(Table1[[#This Row],[Inclusion Flag]]="Y",(Table1[[#This Row],[Test_Volume]]+Table1[[#This Row],[ReTest_Volume]])/2,"")</f>
        <v>7.4258322699999999</v>
      </c>
      <c r="I20" s="13">
        <f>IF(Table1[[#This Row],[Inclusion Flag]]="Y",(Table1[[#This Row],[ReTest_Volume]]-Table1[[#This Row],[Test_Volume]]),"")</f>
        <v>0.13582489999999936</v>
      </c>
      <c r="J20" s="13">
        <f>IF(Table1[[#This Row],[Inclusion Flag]]="Y",(Table1[[#This Row],[Difference_Volume]]^2)/2,"")</f>
        <v>9.2242017300049137E-3</v>
      </c>
      <c r="K20" s="13">
        <f>IF(Table1[[#This Row],[Inclusion Flag]]="Y",Table1[[#This Row],[Pair_Variance V is sq(Diff)/2]]/(Table1[[#This Row],[Average_Volume]]^2),"")</f>
        <v>1.6727788215253759E-4</v>
      </c>
      <c r="M20" s="13">
        <v>7.0932185945000006</v>
      </c>
      <c r="N20" s="13">
        <v>7.7281210114999999</v>
      </c>
      <c r="O20" s="15" t="s">
        <v>1</v>
      </c>
      <c r="P20" s="13">
        <f>IF(Table1[[#This Row],[Inclusion Flag2]]="Y",(Table1[[#This Row],[Test_Volume2]]+Table1[[#This Row],[ReTest_Volume2]])/2,"")</f>
        <v>7.4106698030000002</v>
      </c>
      <c r="Q20" s="13">
        <f>IF(Table1[[#This Row],[Inclusion Flag2]]="Y",Table1[[#This Row],[ReTest_Volume2]]-Table1[[#This Row],[Test_Volume2]],"")</f>
        <v>0.63490241699999928</v>
      </c>
      <c r="R20" s="13">
        <f>IF(Table1[[#This Row],[Inclusion Flag2]]="Y",(Table1[[#This Row],[Difference_Volume2]]^2)/2,"")</f>
        <v>0.20155053955622049</v>
      </c>
      <c r="S20" s="13">
        <f>IF(Table1[[#This Row],[Inclusion Flag2]]="Y",Table1[[#This Row],[Pair_Variance V2 is sq(Diff)/2]]/(Table1[[#This Row],[Average_Volume2]]^2),"")</f>
        <v>3.6700251415885663E-3</v>
      </c>
      <c r="W20" s="15"/>
    </row>
    <row r="21" spans="4:23" s="13" customFormat="1" x14ac:dyDescent="0.4">
      <c r="D21" s="13" t="s">
        <v>53</v>
      </c>
      <c r="E21" s="13">
        <v>7.1930342610000002</v>
      </c>
      <c r="F21" s="13">
        <v>6.9277018610000001</v>
      </c>
      <c r="G21" s="15" t="s">
        <v>1</v>
      </c>
      <c r="H21" s="13">
        <f>IF(Table1[[#This Row],[Inclusion Flag]]="Y",(Table1[[#This Row],[Test_Volume]]+Table1[[#This Row],[ReTest_Volume]])/2,"")</f>
        <v>7.0603680610000001</v>
      </c>
      <c r="I21" s="13">
        <f>IF(Table1[[#This Row],[Inclusion Flag]]="Y",(Table1[[#This Row],[ReTest_Volume]]-Table1[[#This Row],[Test_Volume]]),"")</f>
        <v>-0.26533240000000013</v>
      </c>
      <c r="J21" s="13">
        <f>IF(Table1[[#This Row],[Inclusion Flag]]="Y",(Table1[[#This Row],[Difference_Volume]]^2)/2,"")</f>
        <v>3.5200641244880038E-2</v>
      </c>
      <c r="K21" s="13">
        <f>IF(Table1[[#This Row],[Inclusion Flag]]="Y",Table1[[#This Row],[Pair_Variance V is sq(Diff)/2]]/(Table1[[#This Row],[Average_Volume]]^2),"")</f>
        <v>7.0614825738249658E-4</v>
      </c>
      <c r="M21" s="13">
        <v>7.0591048649999992</v>
      </c>
      <c r="N21" s="13">
        <v>6.621306455</v>
      </c>
      <c r="O21" s="15" t="s">
        <v>1</v>
      </c>
      <c r="P21" s="13">
        <f>IF(Table1[[#This Row],[Inclusion Flag2]]="Y",(Table1[[#This Row],[Test_Volume2]]+Table1[[#This Row],[ReTest_Volume2]])/2,"")</f>
        <v>6.8402056599999996</v>
      </c>
      <c r="Q21" s="13">
        <f>IF(Table1[[#This Row],[Inclusion Flag2]]="Y",Table1[[#This Row],[ReTest_Volume2]]-Table1[[#This Row],[Test_Volume2]],"")</f>
        <v>-0.43779840999999919</v>
      </c>
      <c r="R21" s="13">
        <f>IF(Table1[[#This Row],[Inclusion Flag2]]="Y",(Table1[[#This Row],[Difference_Volume2]]^2)/2,"")</f>
        <v>9.5833723899263701E-2</v>
      </c>
      <c r="S21" s="13">
        <f>IF(Table1[[#This Row],[Inclusion Flag2]]="Y",Table1[[#This Row],[Pair_Variance V2 is sq(Diff)/2]]/(Table1[[#This Row],[Average_Volume2]]^2),"")</f>
        <v>2.048236236060149E-3</v>
      </c>
      <c r="W21" s="15"/>
    </row>
    <row r="22" spans="4:23" s="13" customFormat="1" x14ac:dyDescent="0.4">
      <c r="D22" s="13" t="s">
        <v>53</v>
      </c>
      <c r="E22" s="13">
        <v>7.0110920417999996</v>
      </c>
      <c r="F22" s="13">
        <v>7.0496284017999997</v>
      </c>
      <c r="G22" s="15" t="s">
        <v>1</v>
      </c>
      <c r="H22" s="13">
        <f>IF(Table1[[#This Row],[Inclusion Flag]]="Y",(Table1[[#This Row],[Test_Volume]]+Table1[[#This Row],[ReTest_Volume]])/2,"")</f>
        <v>7.0303602217999996</v>
      </c>
      <c r="I22" s="13">
        <f>IF(Table1[[#This Row],[Inclusion Flag]]="Y",(Table1[[#This Row],[ReTest_Volume]]-Table1[[#This Row],[Test_Volume]]),"")</f>
        <v>3.8536360000000158E-2</v>
      </c>
      <c r="J22" s="13">
        <f>IF(Table1[[#This Row],[Inclusion Flag]]="Y",(Table1[[#This Row],[Difference_Volume]]^2)/2,"")</f>
        <v>7.4252552102480605E-4</v>
      </c>
      <c r="K22" s="13">
        <f>IF(Table1[[#This Row],[Inclusion Flag]]="Y",Table1[[#This Row],[Pair_Variance V is sq(Diff)/2]]/(Table1[[#This Row],[Average_Volume]]^2),"")</f>
        <v>1.5022984848232655E-5</v>
      </c>
      <c r="M22" s="13">
        <v>6.7874555000000001</v>
      </c>
      <c r="N22" s="13">
        <v>6.9150677300000005</v>
      </c>
      <c r="O22" s="15" t="s">
        <v>1</v>
      </c>
      <c r="P22" s="13">
        <f>IF(Table1[[#This Row],[Inclusion Flag2]]="Y",(Table1[[#This Row],[Test_Volume2]]+Table1[[#This Row],[ReTest_Volume2]])/2,"")</f>
        <v>6.8512616150000003</v>
      </c>
      <c r="Q22" s="13">
        <f>IF(Table1[[#This Row],[Inclusion Flag2]]="Y",Table1[[#This Row],[ReTest_Volume2]]-Table1[[#This Row],[Test_Volume2]],"")</f>
        <v>0.12761223000000044</v>
      </c>
      <c r="R22" s="13">
        <f>IF(Table1[[#This Row],[Inclusion Flag2]]="Y",(Table1[[#This Row],[Difference_Volume2]]^2)/2,"")</f>
        <v>8.1424406227865054E-3</v>
      </c>
      <c r="S22" s="13">
        <f>IF(Table1[[#This Row],[Inclusion Flag2]]="Y",Table1[[#This Row],[Pair_Variance V2 is sq(Diff)/2]]/(Table1[[#This Row],[Average_Volume2]]^2),"")</f>
        <v>1.7346565388788474E-4</v>
      </c>
      <c r="W22" s="15"/>
    </row>
    <row r="23" spans="4:23" s="13" customFormat="1" ht="17.25" customHeight="1" x14ac:dyDescent="0.4">
      <c r="D23" s="13" t="s">
        <v>53</v>
      </c>
      <c r="E23" s="13">
        <v>7.1589206614999998</v>
      </c>
      <c r="F23" s="13">
        <v>7.1431270665</v>
      </c>
      <c r="G23" s="15" t="s">
        <v>1</v>
      </c>
      <c r="H23" s="13">
        <f>IF(Table1[[#This Row],[Inclusion Flag]]="Y",(Table1[[#This Row],[Test_Volume]]+Table1[[#This Row],[ReTest_Volume]])/2,"")</f>
        <v>7.1510238639999999</v>
      </c>
      <c r="I23" s="13">
        <f>IF(Table1[[#This Row],[Inclusion Flag]]="Y",(Table1[[#This Row],[ReTest_Volume]]-Table1[[#This Row],[Test_Volume]]),"")</f>
        <v>-1.5793594999999883E-2</v>
      </c>
      <c r="J23" s="13">
        <f>IF(Table1[[#This Row],[Inclusion Flag]]="Y",(Table1[[#This Row],[Difference_Volume]]^2)/2,"")</f>
        <v>1.2471882151201063E-4</v>
      </c>
      <c r="K23" s="13">
        <f>IF(Table1[[#This Row],[Inclusion Flag]]="Y",Table1[[#This Row],[Pair_Variance V is sq(Diff)/2]]/(Table1[[#This Row],[Average_Volume]]^2),"")</f>
        <v>2.4389087049840988E-6</v>
      </c>
      <c r="M23" s="13">
        <v>6.8942196217999996</v>
      </c>
      <c r="N23" s="13">
        <v>6.7880866678</v>
      </c>
      <c r="O23" s="15" t="s">
        <v>1</v>
      </c>
      <c r="P23" s="13">
        <f>IF(Table1[[#This Row],[Inclusion Flag2]]="Y",(Table1[[#This Row],[Test_Volume2]]+Table1[[#This Row],[ReTest_Volume2]])/2,"")</f>
        <v>6.8411531447999998</v>
      </c>
      <c r="Q23" s="13">
        <f>IF(Table1[[#This Row],[Inclusion Flag2]]="Y",Table1[[#This Row],[ReTest_Volume2]]-Table1[[#This Row],[Test_Volume2]],"")</f>
        <v>-0.10613295399999956</v>
      </c>
      <c r="R23" s="13">
        <f>IF(Table1[[#This Row],[Inclusion Flag2]]="Y",(Table1[[#This Row],[Difference_Volume2]]^2)/2,"")</f>
        <v>5.6321019623830114E-3</v>
      </c>
      <c r="S23" s="13">
        <f>IF(Table1[[#This Row],[Inclusion Flag2]]="Y",Table1[[#This Row],[Pair_Variance V2 is sq(Diff)/2]]/(Table1[[#This Row],[Average_Volume2]]^2),"")</f>
        <v>1.2034051990673931E-4</v>
      </c>
      <c r="W23" s="15"/>
    </row>
    <row r="24" spans="4:23" s="13" customFormat="1" x14ac:dyDescent="0.4">
      <c r="D24" s="13" t="s">
        <v>54</v>
      </c>
      <c r="E24" s="13">
        <v>7.5657629589999997</v>
      </c>
      <c r="F24" s="13">
        <v>7.3857159989999994</v>
      </c>
      <c r="G24" s="15" t="s">
        <v>1</v>
      </c>
      <c r="H24" s="13">
        <f>IF(Table1[[#This Row],[Inclusion Flag]]="Y",(Table1[[#This Row],[Test_Volume]]+Table1[[#This Row],[ReTest_Volume]])/2,"")</f>
        <v>7.4757394789999996</v>
      </c>
      <c r="I24" s="13">
        <f>IF(Table1[[#This Row],[Inclusion Flag]]="Y",(Table1[[#This Row],[ReTest_Volume]]-Table1[[#This Row],[Test_Volume]]),"")</f>
        <v>-0.18004696000000031</v>
      </c>
      <c r="J24" s="13">
        <f>IF(Table1[[#This Row],[Inclusion Flag]]="Y",(Table1[[#This Row],[Difference_Volume]]^2)/2,"")</f>
        <v>1.6208453902620858E-2</v>
      </c>
      <c r="K24" s="13">
        <f>IF(Table1[[#This Row],[Inclusion Flag]]="Y",Table1[[#This Row],[Pair_Variance V is sq(Diff)/2]]/(Table1[[#This Row],[Average_Volume]]^2),"")</f>
        <v>2.9002355628958529E-4</v>
      </c>
      <c r="M24" s="13">
        <v>7.304852973</v>
      </c>
      <c r="N24" s="13">
        <v>7.1671328430000001</v>
      </c>
      <c r="O24" s="15" t="s">
        <v>1</v>
      </c>
      <c r="P24" s="13">
        <f>IF(Table1[[#This Row],[Inclusion Flag2]]="Y",(Table1[[#This Row],[Test_Volume2]]+Table1[[#This Row],[ReTest_Volume2]])/2,"")</f>
        <v>7.2359929080000001</v>
      </c>
      <c r="Q24" s="13">
        <f>IF(Table1[[#This Row],[Inclusion Flag2]]="Y",Table1[[#This Row],[ReTest_Volume2]]-Table1[[#This Row],[Test_Volume2]],"")</f>
        <v>-0.13772012999999994</v>
      </c>
      <c r="R24" s="13">
        <f>IF(Table1[[#This Row],[Inclusion Flag2]]="Y",(Table1[[#This Row],[Difference_Volume2]]^2)/2,"")</f>
        <v>9.4834171036084422E-3</v>
      </c>
      <c r="S24" s="13">
        <f>IF(Table1[[#This Row],[Inclusion Flag2]]="Y",Table1[[#This Row],[Pair_Variance V2 is sq(Diff)/2]]/(Table1[[#This Row],[Average_Volume2]]^2),"")</f>
        <v>1.8112090820810993E-4</v>
      </c>
      <c r="W24" s="15"/>
    </row>
    <row r="25" spans="4:23" s="13" customFormat="1" x14ac:dyDescent="0.4">
      <c r="D25" s="13" t="s">
        <v>54</v>
      </c>
      <c r="E25" s="13">
        <v>7.8696319049999994</v>
      </c>
      <c r="F25" s="13">
        <v>7.9688156650000002</v>
      </c>
      <c r="G25" s="15" t="s">
        <v>1</v>
      </c>
      <c r="H25" s="13">
        <f>IF(Table1[[#This Row],[Inclusion Flag]]="Y",(Table1[[#This Row],[Test_Volume]]+Table1[[#This Row],[ReTest_Volume]])/2,"")</f>
        <v>7.9192237849999998</v>
      </c>
      <c r="I25" s="13">
        <f>IF(Table1[[#This Row],[Inclusion Flag]]="Y",(Table1[[#This Row],[ReTest_Volume]]-Table1[[#This Row],[Test_Volume]]),"")</f>
        <v>9.9183760000000731E-2</v>
      </c>
      <c r="J25" s="13">
        <f>IF(Table1[[#This Row],[Inclusion Flag]]="Y",(Table1[[#This Row],[Difference_Volume]]^2)/2,"")</f>
        <v>4.9187091238688729E-3</v>
      </c>
      <c r="K25" s="13">
        <f>IF(Table1[[#This Row],[Inclusion Flag]]="Y",Table1[[#This Row],[Pair_Variance V is sq(Diff)/2]]/(Table1[[#This Row],[Average_Volume]]^2),"")</f>
        <v>7.8430667166121644E-5</v>
      </c>
      <c r="M25" s="13">
        <v>7.7824515458196313</v>
      </c>
      <c r="N25" s="13">
        <v>7.790032470598808</v>
      </c>
      <c r="O25" s="15" t="s">
        <v>1</v>
      </c>
      <c r="P25" s="13">
        <f>IF(Table1[[#This Row],[Inclusion Flag2]]="Y",(Table1[[#This Row],[Test_Volume2]]+Table1[[#This Row],[ReTest_Volume2]])/2,"")</f>
        <v>7.7862420082092196</v>
      </c>
      <c r="Q25" s="13">
        <f>IF(Table1[[#This Row],[Inclusion Flag2]]="Y",Table1[[#This Row],[ReTest_Volume2]]-Table1[[#This Row],[Test_Volume2]],"")</f>
        <v>7.580924779176712E-3</v>
      </c>
      <c r="R25" s="13">
        <f>IF(Table1[[#This Row],[Inclusion Flag2]]="Y",(Table1[[#This Row],[Difference_Volume2]]^2)/2,"")</f>
        <v>2.873521025376774E-5</v>
      </c>
      <c r="S25" s="13">
        <f>IF(Table1[[#This Row],[Inclusion Flag2]]="Y",Table1[[#This Row],[Pair_Variance V2 is sq(Diff)/2]]/(Table1[[#This Row],[Average_Volume2]]^2),"")</f>
        <v>4.7397843530907819E-7</v>
      </c>
      <c r="W25" s="15"/>
    </row>
    <row r="26" spans="4:23" s="13" customFormat="1" x14ac:dyDescent="0.4">
      <c r="D26" s="13" t="s">
        <v>55</v>
      </c>
      <c r="E26" s="13">
        <v>7.4090907387399998</v>
      </c>
      <c r="F26" s="13">
        <v>7.5006935782599999</v>
      </c>
      <c r="G26" s="15" t="s">
        <v>1</v>
      </c>
      <c r="H26" s="13">
        <f>IF(Table1[[#This Row],[Inclusion Flag]]="Y",(Table1[[#This Row],[Test_Volume]]+Table1[[#This Row],[ReTest_Volume]])/2,"")</f>
        <v>7.4548921584999999</v>
      </c>
      <c r="I26" s="13">
        <f>IF(Table1[[#This Row],[Inclusion Flag]]="Y",(Table1[[#This Row],[ReTest_Volume]]-Table1[[#This Row],[Test_Volume]]),"")</f>
        <v>9.1602839520000146E-2</v>
      </c>
      <c r="J26" s="13">
        <f>IF(Table1[[#This Row],[Inclusion Flag]]="Y",(Table1[[#This Row],[Difference_Volume]]^2)/2,"")</f>
        <v>4.1955401040634499E-3</v>
      </c>
      <c r="K26" s="13">
        <f>IF(Table1[[#This Row],[Inclusion Flag]]="Y",Table1[[#This Row],[Pair_Variance V is sq(Diff)/2]]/(Table1[[#This Row],[Average_Volume]]^2),"")</f>
        <v>7.5492732639358294E-5</v>
      </c>
      <c r="M26" s="13">
        <v>7.0742670296499996</v>
      </c>
      <c r="N26" s="13">
        <v>7.2789520023500005</v>
      </c>
      <c r="O26" s="15" t="s">
        <v>1</v>
      </c>
      <c r="P26" s="13">
        <f>IF(Table1[[#This Row],[Inclusion Flag2]]="Y",(Table1[[#This Row],[Test_Volume2]]+Table1[[#This Row],[ReTest_Volume2]])/2,"")</f>
        <v>7.1766095160000001</v>
      </c>
      <c r="Q26" s="13">
        <f>IF(Table1[[#This Row],[Inclusion Flag2]]="Y",Table1[[#This Row],[ReTest_Volume2]]-Table1[[#This Row],[Test_Volume2]],"")</f>
        <v>0.20468497270000086</v>
      </c>
      <c r="R26" s="13">
        <f>IF(Table1[[#This Row],[Inclusion Flag2]]="Y",(Table1[[#This Row],[Difference_Volume2]]^2)/2,"")</f>
        <v>2.0947969024600048E-2</v>
      </c>
      <c r="S26" s="13">
        <f>IF(Table1[[#This Row],[Inclusion Flag2]]="Y",Table1[[#This Row],[Pair_Variance V2 is sq(Diff)/2]]/(Table1[[#This Row],[Average_Volume2]]^2),"")</f>
        <v>4.0672726821786595E-4</v>
      </c>
      <c r="W26" s="15"/>
    </row>
    <row r="27" spans="4:23" s="13" customFormat="1" x14ac:dyDescent="0.4">
      <c r="D27" s="13" t="s">
        <v>55</v>
      </c>
      <c r="E27" s="13">
        <v>7.8014036495000001</v>
      </c>
      <c r="F27" s="13">
        <v>7.9372285524999997</v>
      </c>
      <c r="G27" s="15" t="s">
        <v>1</v>
      </c>
      <c r="H27" s="13">
        <f>IF(Table1[[#This Row],[Inclusion Flag]]="Y",(Table1[[#This Row],[Test_Volume]]+Table1[[#This Row],[ReTest_Volume]])/2,"")</f>
        <v>7.8693161009999999</v>
      </c>
      <c r="I27" s="13">
        <f>IF(Table1[[#This Row],[Inclusion Flag]]="Y",(Table1[[#This Row],[ReTest_Volume]]-Table1[[#This Row],[Test_Volume]]),"")</f>
        <v>0.13582490299999961</v>
      </c>
      <c r="J27" s="13">
        <f>IF(Table1[[#This Row],[Inclusion Flag]]="Y",(Table1[[#This Row],[Difference_Volume]]^2)/2,"")</f>
        <v>9.2242021374796517E-3</v>
      </c>
      <c r="K27" s="13">
        <f>IF(Table1[[#This Row],[Inclusion Flag]]="Y",Table1[[#This Row],[Pair_Variance V is sq(Diff)/2]]/(Table1[[#This Row],[Average_Volume]]^2),"")</f>
        <v>1.4895491223211165E-4</v>
      </c>
      <c r="M27" s="13">
        <v>7.8690007368600003</v>
      </c>
      <c r="N27" s="13">
        <v>7.9530226548599998</v>
      </c>
      <c r="O27" s="15" t="s">
        <v>1</v>
      </c>
      <c r="P27" s="13">
        <f>IF(Table1[[#This Row],[Inclusion Flag2]]="Y",(Table1[[#This Row],[Test_Volume2]]+Table1[[#This Row],[ReTest_Volume2]])/2,"")</f>
        <v>7.9110116958600001</v>
      </c>
      <c r="Q27" s="13">
        <f>IF(Table1[[#This Row],[Inclusion Flag2]]="Y",Table1[[#This Row],[ReTest_Volume2]]-Table1[[#This Row],[Test_Volume2]],"")</f>
        <v>8.4021917999999474E-2</v>
      </c>
      <c r="R27" s="13">
        <f>IF(Table1[[#This Row],[Inclusion Flag2]]="Y",(Table1[[#This Row],[Difference_Volume2]]^2)/2,"")</f>
        <v>3.5298413521993176E-3</v>
      </c>
      <c r="S27" s="13">
        <f>IF(Table1[[#This Row],[Inclusion Flag2]]="Y",Table1[[#This Row],[Pair_Variance V2 is sq(Diff)/2]]/(Table1[[#This Row],[Average_Volume2]]^2),"")</f>
        <v>5.6401562231543824E-5</v>
      </c>
      <c r="W27" s="15"/>
    </row>
    <row r="28" spans="4:23" s="13" customFormat="1" x14ac:dyDescent="0.4">
      <c r="D28" s="13" t="s">
        <v>56</v>
      </c>
      <c r="E28" s="13">
        <v>7.260630999</v>
      </c>
      <c r="F28" s="13">
        <v>7.5303855790000007</v>
      </c>
      <c r="G28" s="15" t="s">
        <v>1</v>
      </c>
      <c r="H28" s="13">
        <f>IF(Table1[[#This Row],[Inclusion Flag]]="Y",(Table1[[#This Row],[Test_Volume]]+Table1[[#This Row],[ReTest_Volume]])/2,"")</f>
        <v>7.3955082890000003</v>
      </c>
      <c r="I28" s="13">
        <f>IF(Table1[[#This Row],[Inclusion Flag]]="Y",(Table1[[#This Row],[ReTest_Volume]]-Table1[[#This Row],[Test_Volume]]),"")</f>
        <v>0.26975458000000074</v>
      </c>
      <c r="J28" s="13">
        <f>IF(Table1[[#This Row],[Inclusion Flag]]="Y",(Table1[[#This Row],[Difference_Volume]]^2)/2,"")</f>
        <v>3.6383766715488403E-2</v>
      </c>
      <c r="K28" s="13">
        <f>IF(Table1[[#This Row],[Inclusion Flag]]="Y",Table1[[#This Row],[Pair_Variance V is sq(Diff)/2]]/(Table1[[#This Row],[Average_Volume]]^2),"")</f>
        <v>6.6522965633252558E-4</v>
      </c>
      <c r="M28" s="13">
        <v>6.9832956500000005</v>
      </c>
      <c r="N28" s="13">
        <v>7.3092754099999997</v>
      </c>
      <c r="O28" s="15" t="s">
        <v>1</v>
      </c>
      <c r="P28" s="13">
        <f>IF(Table1[[#This Row],[Inclusion Flag2]]="Y",(Table1[[#This Row],[Test_Volume2]]+Table1[[#This Row],[ReTest_Volume2]])/2,"")</f>
        <v>7.1462855300000001</v>
      </c>
      <c r="Q28" s="13">
        <f>IF(Table1[[#This Row],[Inclusion Flag2]]="Y",Table1[[#This Row],[ReTest_Volume2]]-Table1[[#This Row],[Test_Volume2]],"")</f>
        <v>0.32597975999999917</v>
      </c>
      <c r="R28" s="13">
        <f>IF(Table1[[#This Row],[Inclusion Flag2]]="Y",(Table1[[#This Row],[Difference_Volume2]]^2)/2,"")</f>
        <v>5.3131401964828531E-2</v>
      </c>
      <c r="S28" s="13">
        <f>IF(Table1[[#This Row],[Inclusion Flag2]]="Y",Table1[[#This Row],[Pair_Variance V2 is sq(Diff)/2]]/(Table1[[#This Row],[Average_Volume2]]^2),"")</f>
        <v>1.0403765310472773E-3</v>
      </c>
      <c r="W28" s="15"/>
    </row>
    <row r="29" spans="4:23" s="13" customFormat="1" x14ac:dyDescent="0.4">
      <c r="D29" s="13" t="s">
        <v>56</v>
      </c>
      <c r="E29" s="13">
        <v>7.7622356769499996</v>
      </c>
      <c r="F29" s="13">
        <v>7.8412036430500001</v>
      </c>
      <c r="G29" s="15" t="s">
        <v>1</v>
      </c>
      <c r="H29" s="13">
        <f>IF(Table1[[#This Row],[Inclusion Flag]]="Y",(Table1[[#This Row],[Test_Volume]]+Table1[[#This Row],[ReTest_Volume]])/2,"")</f>
        <v>7.8017196599999998</v>
      </c>
      <c r="I29" s="13">
        <f>IF(Table1[[#This Row],[Inclusion Flag]]="Y",(Table1[[#This Row],[ReTest_Volume]]-Table1[[#This Row],[Test_Volume]]),"")</f>
        <v>7.8967966100000453E-2</v>
      </c>
      <c r="J29" s="13">
        <f>IF(Table1[[#This Row],[Inclusion Flag]]="Y",(Table1[[#This Row],[Difference_Volume]]^2)/2,"")</f>
        <v>3.1179698349854102E-3</v>
      </c>
      <c r="K29" s="13">
        <f>IF(Table1[[#This Row],[Inclusion Flag]]="Y",Table1[[#This Row],[Pair_Variance V is sq(Diff)/2]]/(Table1[[#This Row],[Average_Volume]]^2),"")</f>
        <v>5.122609231906863E-5</v>
      </c>
      <c r="M29" s="13">
        <v>7.5379662890918517</v>
      </c>
      <c r="N29" s="13">
        <v>7.5524963955394888</v>
      </c>
      <c r="O29" s="15" t="s">
        <v>1</v>
      </c>
      <c r="P29" s="13">
        <f>IF(Table1[[#This Row],[Inclusion Flag2]]="Y",(Table1[[#This Row],[Test_Volume2]]+Table1[[#This Row],[ReTest_Volume2]])/2,"")</f>
        <v>7.5452313423156703</v>
      </c>
      <c r="Q29" s="13">
        <f>IF(Table1[[#This Row],[Inclusion Flag2]]="Y",Table1[[#This Row],[ReTest_Volume2]]-Table1[[#This Row],[Test_Volume2]],"")</f>
        <v>1.4530106447637081E-2</v>
      </c>
      <c r="R29" s="13">
        <f>IF(Table1[[#This Row],[Inclusion Flag2]]="Y",(Table1[[#This Row],[Difference_Volume2]]^2)/2,"")</f>
        <v>1.0556199668983234E-4</v>
      </c>
      <c r="S29" s="13">
        <f>IF(Table1[[#This Row],[Inclusion Flag2]]="Y",Table1[[#This Row],[Pair_Variance V2 is sq(Diff)/2]]/(Table1[[#This Row],[Average_Volume2]]^2),"")</f>
        <v>1.8542251869459254E-6</v>
      </c>
      <c r="W29" s="15"/>
    </row>
    <row r="30" spans="4:23" s="13" customFormat="1" x14ac:dyDescent="0.4">
      <c r="D30" s="13" t="s">
        <v>57</v>
      </c>
      <c r="E30" s="13">
        <v>7.5651314620000001</v>
      </c>
      <c r="F30" s="13">
        <v>7.5979821320000003</v>
      </c>
      <c r="G30" s="15" t="s">
        <v>1</v>
      </c>
      <c r="H30" s="13">
        <f>IF(Table1[[#This Row],[Inclusion Flag]]="Y",(Table1[[#This Row],[Test_Volume]]+Table1[[#This Row],[ReTest_Volume]])/2,"")</f>
        <v>7.5815567970000002</v>
      </c>
      <c r="I30" s="13">
        <f>IF(Table1[[#This Row],[Inclusion Flag]]="Y",(Table1[[#This Row],[ReTest_Volume]]-Table1[[#This Row],[Test_Volume]]),"")</f>
        <v>3.2850670000000193E-2</v>
      </c>
      <c r="J30" s="13">
        <f>IF(Table1[[#This Row],[Inclusion Flag]]="Y",(Table1[[#This Row],[Difference_Volume]]^2)/2,"")</f>
        <v>5.395832597244563E-4</v>
      </c>
      <c r="K30" s="13">
        <f>IF(Table1[[#This Row],[Inclusion Flag]]="Y",Table1[[#This Row],[Pair_Variance V is sq(Diff)/2]]/(Table1[[#This Row],[Average_Volume]]^2),"")</f>
        <v>9.3873212802142587E-6</v>
      </c>
      <c r="M30" s="13">
        <v>6.9971939025000003</v>
      </c>
      <c r="N30" s="13">
        <v>7.7394928035000001</v>
      </c>
      <c r="O30" s="15" t="s">
        <v>1</v>
      </c>
      <c r="P30" s="13">
        <f>IF(Table1[[#This Row],[Inclusion Flag2]]="Y",(Table1[[#This Row],[Test_Volume2]]+Table1[[#This Row],[ReTest_Volume2]])/2,"")</f>
        <v>7.3683433530000002</v>
      </c>
      <c r="Q30" s="13">
        <f>IF(Table1[[#This Row],[Inclusion Flag2]]="Y",Table1[[#This Row],[ReTest_Volume2]]-Table1[[#This Row],[Test_Volume2]],"")</f>
        <v>0.74229890099999984</v>
      </c>
      <c r="R30" s="13">
        <f>IF(Table1[[#This Row],[Inclusion Flag2]]="Y",(Table1[[#This Row],[Difference_Volume2]]^2)/2,"")</f>
        <v>0.27550382921290378</v>
      </c>
      <c r="S30" s="13">
        <f>IF(Table1[[#This Row],[Inclusion Flag2]]="Y",Table1[[#This Row],[Pair_Variance V2 is sq(Diff)/2]]/(Table1[[#This Row],[Average_Volume2]]^2),"")</f>
        <v>5.0744377507520059E-3</v>
      </c>
      <c r="W30" s="15"/>
    </row>
    <row r="31" spans="4:23" s="13" customFormat="1" x14ac:dyDescent="0.4">
      <c r="D31" s="13" t="s">
        <v>57</v>
      </c>
      <c r="E31" s="13">
        <v>7.0919556015000005</v>
      </c>
      <c r="F31" s="13">
        <v>7.3528657544999998</v>
      </c>
      <c r="G31" s="15" t="s">
        <v>1</v>
      </c>
      <c r="H31" s="13">
        <f>IF(Table1[[#This Row],[Inclusion Flag]]="Y",(Table1[[#This Row],[Test_Volume]]+Table1[[#This Row],[ReTest_Volume]])/2,"")</f>
        <v>7.2224106780000001</v>
      </c>
      <c r="I31" s="13">
        <f>IF(Table1[[#This Row],[Inclusion Flag]]="Y",(Table1[[#This Row],[ReTest_Volume]]-Table1[[#This Row],[Test_Volume]]),"")</f>
        <v>0.26091015299999931</v>
      </c>
      <c r="J31" s="13">
        <f>IF(Table1[[#This Row],[Inclusion Flag]]="Y",(Table1[[#This Row],[Difference_Volume]]^2)/2,"")</f>
        <v>3.4037053969241525E-2</v>
      </c>
      <c r="K31" s="13">
        <f>IF(Table1[[#This Row],[Inclusion Flag]]="Y",Table1[[#This Row],[Pair_Variance V is sq(Diff)/2]]/(Table1[[#This Row],[Average_Volume]]^2),"")</f>
        <v>6.5251064980617406E-4</v>
      </c>
      <c r="M31" s="13">
        <v>6.8443119603999998</v>
      </c>
      <c r="N31" s="13">
        <v>7.2081963795999995</v>
      </c>
      <c r="O31" s="15" t="s">
        <v>1</v>
      </c>
      <c r="P31" s="13">
        <f>IF(Table1[[#This Row],[Inclusion Flag2]]="Y",(Table1[[#This Row],[Test_Volume2]]+Table1[[#This Row],[ReTest_Volume2]])/2,"")</f>
        <v>7.0262541699999996</v>
      </c>
      <c r="Q31" s="13">
        <f>IF(Table1[[#This Row],[Inclusion Flag2]]="Y",Table1[[#This Row],[ReTest_Volume2]]-Table1[[#This Row],[Test_Volume2]],"")</f>
        <v>0.3638844191999997</v>
      </c>
      <c r="R31" s="13">
        <f>IF(Table1[[#This Row],[Inclusion Flag2]]="Y",(Table1[[#This Row],[Difference_Volume2]]^2)/2,"")</f>
        <v>6.620593526826056E-2</v>
      </c>
      <c r="S31" s="13">
        <f>IF(Table1[[#This Row],[Inclusion Flag2]]="Y",Table1[[#This Row],[Pair_Variance V2 is sq(Diff)/2]]/(Table1[[#This Row],[Average_Volume2]]^2),"")</f>
        <v>1.3410631003613433E-3</v>
      </c>
      <c r="W31" s="15"/>
    </row>
    <row r="32" spans="4:23" s="13" customFormat="1" x14ac:dyDescent="0.4">
      <c r="D32" s="13" t="s">
        <v>57</v>
      </c>
      <c r="E32" s="13">
        <v>8.4388329085000002</v>
      </c>
      <c r="F32" s="13">
        <v>8.073685020500001</v>
      </c>
      <c r="G32" s="15" t="s">
        <v>1</v>
      </c>
      <c r="H32" s="13">
        <f>IF(Table1[[#This Row],[Inclusion Flag]]="Y",(Table1[[#This Row],[Test_Volume]]+Table1[[#This Row],[ReTest_Volume]])/2,"")</f>
        <v>8.2562589645000006</v>
      </c>
      <c r="I32" s="13">
        <f>IF(Table1[[#This Row],[Inclusion Flag]]="Y",(Table1[[#This Row],[ReTest_Volume]]-Table1[[#This Row],[Test_Volume]]),"")</f>
        <v>-0.3651478879999992</v>
      </c>
      <c r="J32" s="13">
        <f>IF(Table1[[#This Row],[Inclusion Flag]]="Y",(Table1[[#This Row],[Difference_Volume]]^2)/2,"")</f>
        <v>6.6666490055429975E-2</v>
      </c>
      <c r="K32" s="13">
        <f>IF(Table1[[#This Row],[Inclusion Flag]]="Y",Table1[[#This Row],[Pair_Variance V is sq(Diff)/2]]/(Table1[[#This Row],[Average_Volume]]^2),"")</f>
        <v>9.7800477999878343E-4</v>
      </c>
      <c r="M32" s="13">
        <v>8.5418073527999994</v>
      </c>
      <c r="N32" s="13">
        <v>7.3768718831999998</v>
      </c>
      <c r="O32" s="15" t="s">
        <v>1</v>
      </c>
      <c r="P32" s="13">
        <f>IF(Table1[[#This Row],[Inclusion Flag2]]="Y",(Table1[[#This Row],[Test_Volume2]]+Table1[[#This Row],[ReTest_Volume2]])/2,"")</f>
        <v>7.9593396179999996</v>
      </c>
      <c r="Q32" s="13">
        <f>IF(Table1[[#This Row],[Inclusion Flag2]]="Y",Table1[[#This Row],[ReTest_Volume2]]-Table1[[#This Row],[Test_Volume2]],"")</f>
        <v>-1.1649354695999996</v>
      </c>
      <c r="R32" s="13">
        <f>IF(Table1[[#This Row],[Inclusion Flag2]]="Y",(Table1[[#This Row],[Difference_Volume2]]^2)/2,"")</f>
        <v>0.67853732416608581</v>
      </c>
      <c r="S32" s="13">
        <f>IF(Table1[[#This Row],[Inclusion Flag2]]="Y",Table1[[#This Row],[Pair_Variance V2 is sq(Diff)/2]]/(Table1[[#This Row],[Average_Volume2]]^2),"")</f>
        <v>1.0710744750275794E-2</v>
      </c>
      <c r="W32" s="15"/>
    </row>
    <row r="33" spans="4:27" s="13" customFormat="1" x14ac:dyDescent="0.4">
      <c r="D33" s="13" t="s">
        <v>57</v>
      </c>
      <c r="E33" s="13">
        <v>8.634042215997999</v>
      </c>
      <c r="F33" s="13">
        <v>8.6239343159819999</v>
      </c>
      <c r="G33" s="15" t="s">
        <v>1</v>
      </c>
      <c r="H33" s="13">
        <f>IF(Table1[[#This Row],[Inclusion Flag]]="Y",(Table1[[#This Row],[Test_Volume]]+Table1[[#This Row],[ReTest_Volume]])/2,"")</f>
        <v>8.6289882659899995</v>
      </c>
      <c r="I33" s="13">
        <f>IF(Table1[[#This Row],[Inclusion Flag]]="Y",(Table1[[#This Row],[ReTest_Volume]]-Table1[[#This Row],[Test_Volume]]),"")</f>
        <v>-1.0107900015999149E-2</v>
      </c>
      <c r="J33" s="13">
        <f>IF(Table1[[#This Row],[Inclusion Flag]]="Y",(Table1[[#This Row],[Difference_Volume]]^2)/2,"")</f>
        <v>5.1084821366717805E-5</v>
      </c>
      <c r="K33" s="13">
        <f>IF(Table1[[#This Row],[Inclusion Flag]]="Y",Table1[[#This Row],[Pair_Variance V is sq(Diff)/2]]/(Table1[[#This Row],[Average_Volume]]^2),"")</f>
        <v>6.8607583403180438E-7</v>
      </c>
      <c r="M33" s="13">
        <v>8.5064295977899995</v>
      </c>
      <c r="N33" s="13">
        <v>8.8728409557900001</v>
      </c>
      <c r="O33" s="15" t="s">
        <v>1</v>
      </c>
      <c r="P33" s="13">
        <f>IF(Table1[[#This Row],[Inclusion Flag2]]="Y",(Table1[[#This Row],[Test_Volume2]]+Table1[[#This Row],[ReTest_Volume2]])/2,"")</f>
        <v>8.6896352767899998</v>
      </c>
      <c r="Q33" s="13">
        <f>IF(Table1[[#This Row],[Inclusion Flag2]]="Y",Table1[[#This Row],[ReTest_Volume2]]-Table1[[#This Row],[Test_Volume2]],"")</f>
        <v>0.36641135800000058</v>
      </c>
      <c r="R33" s="13">
        <f>IF(Table1[[#This Row],[Inclusion Flag2]]="Y",(Table1[[#This Row],[Difference_Volume2]]^2)/2,"")</f>
        <v>6.7128641635702299E-2</v>
      </c>
      <c r="S33" s="13">
        <f>IF(Table1[[#This Row],[Inclusion Flag2]]="Y",Table1[[#This Row],[Pair_Variance V2 is sq(Diff)/2]]/(Table1[[#This Row],[Average_Volume2]]^2),"")</f>
        <v>8.8900614344562508E-4</v>
      </c>
      <c r="W33" s="15"/>
    </row>
    <row r="34" spans="4:27" s="13" customFormat="1" x14ac:dyDescent="0.4">
      <c r="D34" s="13" t="s">
        <v>58</v>
      </c>
      <c r="E34" s="13">
        <v>7.9643936529000001</v>
      </c>
      <c r="F34" s="13">
        <v>8.1077994926999999</v>
      </c>
      <c r="G34" s="15" t="s">
        <v>1</v>
      </c>
      <c r="H34" s="13">
        <f>IF(Table1[[#This Row],[Inclusion Flag]]="Y",(Table1[[#This Row],[Test_Volume]]+Table1[[#This Row],[ReTest_Volume]])/2,"")</f>
        <v>8.0360965728</v>
      </c>
      <c r="I34" s="13">
        <f>IF(Table1[[#This Row],[Inclusion Flag]]="Y",(Table1[[#This Row],[ReTest_Volume]]-Table1[[#This Row],[Test_Volume]]),"")</f>
        <v>0.14340583979999977</v>
      </c>
      <c r="J34" s="13">
        <f>IF(Table1[[#This Row],[Inclusion Flag]]="Y",(Table1[[#This Row],[Difference_Volume]]^2)/2,"")</f>
        <v>1.0282617444371599E-2</v>
      </c>
      <c r="K34" s="13">
        <f>IF(Table1[[#This Row],[Inclusion Flag]]="Y",Table1[[#This Row],[Pair_Variance V is sq(Diff)/2]]/(Table1[[#This Row],[Average_Volume]]^2),"")</f>
        <v>1.5922577968704776E-4</v>
      </c>
      <c r="M34" s="13">
        <v>7.9669208824899993</v>
      </c>
      <c r="N34" s="13">
        <v>8.4735793768899992</v>
      </c>
      <c r="O34" s="15" t="s">
        <v>1</v>
      </c>
      <c r="P34" s="13">
        <f>IF(Table1[[#This Row],[Inclusion Flag2]]="Y",(Table1[[#This Row],[Test_Volume2]]+Table1[[#This Row],[ReTest_Volume2]])/2,"")</f>
        <v>8.2202501296899992</v>
      </c>
      <c r="Q34" s="13">
        <f>IF(Table1[[#This Row],[Inclusion Flag2]]="Y",Table1[[#This Row],[ReTest_Volume2]]-Table1[[#This Row],[Test_Volume2]],"")</f>
        <v>0.50665849439999988</v>
      </c>
      <c r="R34" s="13">
        <f>IF(Table1[[#This Row],[Inclusion Flag2]]="Y",(Table1[[#This Row],[Difference_Volume2]]^2)/2,"")</f>
        <v>0.12835141497383737</v>
      </c>
      <c r="S34" s="13">
        <f>IF(Table1[[#This Row],[Inclusion Flag2]]="Y",Table1[[#This Row],[Pair_Variance V2 is sq(Diff)/2]]/(Table1[[#This Row],[Average_Volume2]]^2),"")</f>
        <v>1.8994619380743468E-3</v>
      </c>
      <c r="W34" s="15"/>
    </row>
    <row r="35" spans="4:27" s="16" customFormat="1" ht="18.45" x14ac:dyDescent="0.5">
      <c r="D35" s="16" t="s">
        <v>58</v>
      </c>
      <c r="E35" s="17">
        <v>8.9998210000000007</v>
      </c>
      <c r="F35" s="17">
        <v>9.7187400000000004</v>
      </c>
      <c r="G35" s="18" t="s">
        <v>1</v>
      </c>
      <c r="H35" s="16">
        <f>IF(Table1[[#This Row],[Inclusion Flag]]="Y",(Table1[[#This Row],[Test_Volume]]+Table1[[#This Row],[ReTest_Volume]])/2,"")</f>
        <v>9.3592805000000006</v>
      </c>
      <c r="I35" s="16">
        <f>IF(Table1[[#This Row],[Inclusion Flag]]="Y",(Table1[[#This Row],[ReTest_Volume]]-Table1[[#This Row],[Test_Volume]]),"")</f>
        <v>0.71891899999999964</v>
      </c>
      <c r="J35" s="16">
        <f>IF(Table1[[#This Row],[Inclusion Flag]]="Y",(Table1[[#This Row],[Difference_Volume]]^2)/2,"")</f>
        <v>0.25842226428049975</v>
      </c>
      <c r="K35" s="16">
        <f>IF(Table1[[#This Row],[Inclusion Flag]]="Y",Table1[[#This Row],[Pair_Variance V is sq(Diff)/2]]/(Table1[[#This Row],[Average_Volume]]^2),"")</f>
        <v>2.9501561304262217E-3</v>
      </c>
      <c r="M35" s="17">
        <v>8.0136690000000002</v>
      </c>
      <c r="N35" s="17">
        <v>9.2089290599999991</v>
      </c>
      <c r="O35" s="15" t="s">
        <v>1</v>
      </c>
      <c r="P35" s="16">
        <f>IF(Table1[[#This Row],[Inclusion Flag2]]="Y",(Table1[[#This Row],[Test_Volume2]]+Table1[[#This Row],[ReTest_Volume2]])/2,"")</f>
        <v>8.6112990299999996</v>
      </c>
      <c r="Q35" s="16">
        <f>IF(Table1[[#This Row],[Inclusion Flag2]]="Y",Table1[[#This Row],[ReTest_Volume2]]-Table1[[#This Row],[Test_Volume2]],"")</f>
        <v>1.195260059999999</v>
      </c>
      <c r="R35" s="16">
        <f>IF(Table1[[#This Row],[Inclusion Flag2]]="Y",(Table1[[#This Row],[Difference_Volume2]]^2)/2,"")</f>
        <v>0.71432330551560053</v>
      </c>
      <c r="S35" s="16">
        <f>IF(Table1[[#This Row],[Inclusion Flag2]]="Y",Table1[[#This Row],[Pair_Variance V2 is sq(Diff)/2]]/(Table1[[#This Row],[Average_Volume2]]^2),"")</f>
        <v>9.6329094663620031E-3</v>
      </c>
      <c r="W35" s="18"/>
      <c r="X35" s="16" t="str">
        <f>IF(Table1[[#This Row],[Column3]]="Y",(Table1[[#This Row],[Column1]]+Table1[[#This Row],[Column2]])/2,"")</f>
        <v/>
      </c>
      <c r="Y35" s="16" t="str">
        <f>IF(Table1[[#This Row],[Column3]]="Y",Table1[[#This Row],[Column2]]-Table1[[#This Row],[Column1]],"")</f>
        <v/>
      </c>
      <c r="Z35" s="16" t="str">
        <f>IF(Table1[[#This Row],[Column3]]="Y",(Table1[[#This Row],[Column5]]^2)/2,"")</f>
        <v/>
      </c>
      <c r="AA35" s="16" t="str">
        <f>IF(Table1[[#This Row],[Column3]]="Y",Table1[[#This Row],[Column6]]/(Table1[[#This Row],[Column4]]^2),"")</f>
        <v/>
      </c>
    </row>
    <row r="36" spans="4:27" s="13" customFormat="1" x14ac:dyDescent="0.4">
      <c r="D36" s="13" t="s">
        <v>58</v>
      </c>
      <c r="E36" s="13">
        <v>8.5392797740000006</v>
      </c>
      <c r="F36" s="13">
        <v>8.6833173479999992</v>
      </c>
      <c r="G36" s="15" t="s">
        <v>1</v>
      </c>
      <c r="H36" s="13">
        <f>IF(Table1[[#This Row],[Inclusion Flag]]="Y",(Table1[[#This Row],[Test_Volume]]+Table1[[#This Row],[ReTest_Volume]])/2,"")</f>
        <v>8.6112985609999999</v>
      </c>
      <c r="I36" s="13">
        <f>IF(Table1[[#This Row],[Inclusion Flag]]="Y",(Table1[[#This Row],[ReTest_Volume]]-Table1[[#This Row],[Test_Volume]]),"")</f>
        <v>0.14403757399999861</v>
      </c>
      <c r="J36" s="13">
        <f>IF(Table1[[#This Row],[Inclusion Flag]]="Y",(Table1[[#This Row],[Difference_Volume]]^2)/2,"")</f>
        <v>1.0373411361902538E-2</v>
      </c>
      <c r="K36" s="13">
        <f>IF(Table1[[#This Row],[Inclusion Flag]]="Y",Table1[[#This Row],[Pair_Variance V is sq(Diff)/2]]/(Table1[[#This Row],[Average_Volume]]^2),"")</f>
        <v>1.3988923869567916E-4</v>
      </c>
      <c r="M36" s="13">
        <v>8.5986643285</v>
      </c>
      <c r="N36" s="13">
        <v>9.064259483499999</v>
      </c>
      <c r="O36" s="15" t="s">
        <v>1</v>
      </c>
      <c r="P36" s="13">
        <f>IF(Table1[[#This Row],[Inclusion Flag2]]="Y",(Table1[[#This Row],[Test_Volume2]]+Table1[[#This Row],[ReTest_Volume2]])/2,"")</f>
        <v>8.8314619059999995</v>
      </c>
      <c r="Q36" s="13">
        <f>IF(Table1[[#This Row],[Inclusion Flag2]]="Y",Table1[[#This Row],[ReTest_Volume2]]-Table1[[#This Row],[Test_Volume2]],"")</f>
        <v>0.46559515499999904</v>
      </c>
      <c r="R36" s="13">
        <f>IF(Table1[[#This Row],[Inclusion Flag2]]="Y",(Table1[[#This Row],[Difference_Volume2]]^2)/2,"")</f>
        <v>0.10838942417973657</v>
      </c>
      <c r="S36" s="13">
        <f>IF(Table1[[#This Row],[Inclusion Flag2]]="Y",Table1[[#This Row],[Pair_Variance V2 is sq(Diff)/2]]/(Table1[[#This Row],[Average_Volume2]]^2),"")</f>
        <v>1.3897020851866312E-3</v>
      </c>
      <c r="W36" s="15"/>
    </row>
    <row r="37" spans="4:27" s="13" customFormat="1" x14ac:dyDescent="0.4">
      <c r="D37" s="13" t="s">
        <v>58</v>
      </c>
      <c r="E37" s="13">
        <v>8.6037183477500001</v>
      </c>
      <c r="F37" s="13">
        <v>8.3794493004499984</v>
      </c>
      <c r="G37" s="15" t="s">
        <v>1</v>
      </c>
      <c r="H37" s="13">
        <f>IF(Table1[[#This Row],[Inclusion Flag]]="Y",(Table1[[#This Row],[Test_Volume]]+Table1[[#This Row],[ReTest_Volume]])/2,"")</f>
        <v>8.4915838240999992</v>
      </c>
      <c r="I37" s="13">
        <f>IF(Table1[[#This Row],[Inclusion Flag]]="Y",(Table1[[#This Row],[ReTest_Volume]]-Table1[[#This Row],[Test_Volume]]),"")</f>
        <v>-0.22426904730000174</v>
      </c>
      <c r="J37" s="13">
        <f>IF(Table1[[#This Row],[Inclusion Flag]]="Y",(Table1[[#This Row],[Difference_Volume]]^2)/2,"")</f>
        <v>2.5148302788425211E-2</v>
      </c>
      <c r="K37" s="13">
        <f>IF(Table1[[#This Row],[Inclusion Flag]]="Y",Table1[[#This Row],[Pair_Variance V is sq(Diff)/2]]/(Table1[[#This Row],[Average_Volume]]^2),"")</f>
        <v>3.4876370170279535E-4</v>
      </c>
      <c r="M37" s="13">
        <v>8.1747643948000004</v>
      </c>
      <c r="N37" s="13">
        <v>8.4186174867999988</v>
      </c>
      <c r="O37" s="15" t="s">
        <v>1</v>
      </c>
      <c r="P37" s="13">
        <f>IF(Table1[[#This Row],[Inclusion Flag2]]="Y",(Table1[[#This Row],[Test_Volume2]]+Table1[[#This Row],[ReTest_Volume2]])/2,"")</f>
        <v>8.2966909407999996</v>
      </c>
      <c r="Q37" s="13">
        <f>IF(Table1[[#This Row],[Inclusion Flag2]]="Y",Table1[[#This Row],[ReTest_Volume2]]-Table1[[#This Row],[Test_Volume2]],"")</f>
        <v>0.24385309199999838</v>
      </c>
      <c r="R37" s="13">
        <f>IF(Table1[[#This Row],[Inclusion Flag2]]="Y",(Table1[[#This Row],[Difference_Volume2]]^2)/2,"")</f>
        <v>2.9732165238979837E-2</v>
      </c>
      <c r="S37" s="13">
        <f>IF(Table1[[#This Row],[Inclusion Flag2]]="Y",Table1[[#This Row],[Pair_Variance V2 is sq(Diff)/2]]/(Table1[[#This Row],[Average_Volume2]]^2),"")</f>
        <v>4.3193332518837266E-4</v>
      </c>
      <c r="W37" s="15"/>
    </row>
    <row r="38" spans="4:27" s="13" customFormat="1" x14ac:dyDescent="0.4">
      <c r="D38" s="13" t="s">
        <v>59</v>
      </c>
      <c r="E38" s="13">
        <v>8.2682629816185003</v>
      </c>
      <c r="F38" s="13">
        <v>8.4729479543815014</v>
      </c>
      <c r="G38" s="15" t="s">
        <v>1</v>
      </c>
      <c r="H38" s="13">
        <f>IF(Table1[[#This Row],[Inclusion Flag]]="Y",(Table1[[#This Row],[Test_Volume]]+Table1[[#This Row],[ReTest_Volume]])/2,"")</f>
        <v>8.3706054680000008</v>
      </c>
      <c r="I38" s="13">
        <f>IF(Table1[[#This Row],[Inclusion Flag]]="Y",(Table1[[#This Row],[ReTest_Volume]]-Table1[[#This Row],[Test_Volume]]),"")</f>
        <v>0.20468497276300113</v>
      </c>
      <c r="J38" s="13">
        <f>IF(Table1[[#This Row],[Inclusion Flag]]="Y",(Table1[[#This Row],[Difference_Volume]]^2)/2,"")</f>
        <v>2.0947969037495257E-2</v>
      </c>
      <c r="K38" s="13">
        <f>IF(Table1[[#This Row],[Inclusion Flag]]="Y",Table1[[#This Row],[Pair_Variance V is sq(Diff)/2]]/(Table1[[#This Row],[Average_Volume]]^2),"")</f>
        <v>2.9897038982953098E-4</v>
      </c>
      <c r="M38" s="13">
        <v>8.5013756854499984</v>
      </c>
      <c r="N38" s="13">
        <v>8.5291724102500002</v>
      </c>
      <c r="O38" s="15" t="s">
        <v>1</v>
      </c>
      <c r="P38" s="13">
        <f>IF(Table1[[#This Row],[Inclusion Flag2]]="Y",(Table1[[#This Row],[Test_Volume2]]+Table1[[#This Row],[ReTest_Volume2]])/2,"")</f>
        <v>8.5152740478499993</v>
      </c>
      <c r="Q38" s="13">
        <f>IF(Table1[[#This Row],[Inclusion Flag2]]="Y",Table1[[#This Row],[ReTest_Volume2]]-Table1[[#This Row],[Test_Volume2]],"")</f>
        <v>2.7796724800001726E-2</v>
      </c>
      <c r="R38" s="13">
        <f>IF(Table1[[#This Row],[Inclusion Flag2]]="Y",(Table1[[#This Row],[Difference_Volume2]]^2)/2,"")</f>
        <v>3.8632895480351551E-4</v>
      </c>
      <c r="S38" s="13">
        <f>IF(Table1[[#This Row],[Inclusion Flag2]]="Y",Table1[[#This Row],[Pair_Variance V2 is sq(Diff)/2]]/(Table1[[#This Row],[Average_Volume2]]^2),"")</f>
        <v>5.3279482779743572E-6</v>
      </c>
      <c r="W38" s="15"/>
    </row>
    <row r="39" spans="4:27" s="13" customFormat="1" x14ac:dyDescent="0.4">
      <c r="D39" s="13" t="s">
        <v>59</v>
      </c>
      <c r="E39" s="13">
        <v>9.0781579165899995</v>
      </c>
      <c r="F39" s="13">
        <v>9.267049297609999</v>
      </c>
      <c r="G39" s="15" t="s">
        <v>1</v>
      </c>
      <c r="H39" s="13">
        <f>IF(Table1[[#This Row],[Inclusion Flag]]="Y",(Table1[[#This Row],[Test_Volume]]+Table1[[#This Row],[ReTest_Volume]])/2,"")</f>
        <v>9.1726036070999992</v>
      </c>
      <c r="I39" s="13">
        <f>IF(Table1[[#This Row],[Inclusion Flag]]="Y",(Table1[[#This Row],[ReTest_Volume]]-Table1[[#This Row],[Test_Volume]]),"")</f>
        <v>0.18889138101999947</v>
      </c>
      <c r="J39" s="13">
        <f>IF(Table1[[#This Row],[Inclusion Flag]]="Y",(Table1[[#This Row],[Difference_Volume]]^2)/2,"")</f>
        <v>1.783997691182131E-2</v>
      </c>
      <c r="K39" s="13">
        <f>IF(Table1[[#This Row],[Inclusion Flag]]="Y",Table1[[#This Row],[Pair_Variance V is sq(Diff)/2]]/(Table1[[#This Row],[Average_Volume]]^2),"")</f>
        <v>2.1203572333556247E-4</v>
      </c>
      <c r="M39" s="13">
        <v>8.9562306497245938</v>
      </c>
      <c r="N39" s="13">
        <v>8.9518084432929665</v>
      </c>
      <c r="O39" s="15" t="s">
        <v>1</v>
      </c>
      <c r="P39" s="13">
        <f>IF(Table1[[#This Row],[Inclusion Flag2]]="Y",(Table1[[#This Row],[Test_Volume2]]+Table1[[#This Row],[ReTest_Volume2]])/2,"")</f>
        <v>8.9540195465087802</v>
      </c>
      <c r="Q39" s="13">
        <f>IF(Table1[[#This Row],[Inclusion Flag2]]="Y",Table1[[#This Row],[ReTest_Volume2]]-Table1[[#This Row],[Test_Volume2]],"")</f>
        <v>-4.4222064316272736E-3</v>
      </c>
      <c r="R39" s="13">
        <f>IF(Table1[[#This Row],[Inclusion Flag2]]="Y",(Table1[[#This Row],[Difference_Volume2]]^2)/2,"")</f>
        <v>9.777954861962812E-6</v>
      </c>
      <c r="S39" s="13">
        <f>IF(Table1[[#This Row],[Inclusion Flag2]]="Y",Table1[[#This Row],[Pair_Variance V2 is sq(Diff)/2]]/(Table1[[#This Row],[Average_Volume2]]^2),"")</f>
        <v>1.2195846564384431E-7</v>
      </c>
      <c r="W39" s="15"/>
    </row>
    <row r="40" spans="4:27" s="13" customFormat="1" x14ac:dyDescent="0.4">
      <c r="D40" s="13" t="s">
        <v>59</v>
      </c>
      <c r="E40" s="13">
        <v>9.2784196619799992</v>
      </c>
      <c r="F40" s="13">
        <v>9.2632578129800009</v>
      </c>
      <c r="G40" s="15" t="s">
        <v>1</v>
      </c>
      <c r="H40" s="13">
        <f>IF(Table1[[#This Row],[Inclusion Flag]]="Y",(Table1[[#This Row],[Test_Volume]]+Table1[[#This Row],[ReTest_Volume]])/2,"")</f>
        <v>9.2708387374800001</v>
      </c>
      <c r="I40" s="13">
        <f>IF(Table1[[#This Row],[Inclusion Flag]]="Y",(Table1[[#This Row],[ReTest_Volume]]-Table1[[#This Row],[Test_Volume]]),"")</f>
        <v>-1.5161848999998284E-2</v>
      </c>
      <c r="J40" s="13">
        <f>IF(Table1[[#This Row],[Inclusion Flag]]="Y",(Table1[[#This Row],[Difference_Volume]]^2)/2,"")</f>
        <v>1.1494083254937449E-4</v>
      </c>
      <c r="K40" s="13">
        <f>IF(Table1[[#This Row],[Inclusion Flag]]="Y",Table1[[#This Row],[Pair_Variance V is sq(Diff)/2]]/(Table1[[#This Row],[Average_Volume]]^2),"")</f>
        <v>1.3373229110083084E-6</v>
      </c>
      <c r="M40" s="13">
        <v>9.0364626888185509</v>
      </c>
      <c r="N40" s="13">
        <v>8.9840279575437503</v>
      </c>
      <c r="O40" s="15" t="s">
        <v>1</v>
      </c>
      <c r="P40" s="13">
        <f>IF(Table1[[#This Row],[Inclusion Flag2]]="Y",(Table1[[#This Row],[Test_Volume2]]+Table1[[#This Row],[ReTest_Volume2]])/2,"")</f>
        <v>9.0102453231811506</v>
      </c>
      <c r="Q40" s="13">
        <f>IF(Table1[[#This Row],[Inclusion Flag2]]="Y",Table1[[#This Row],[ReTest_Volume2]]-Table1[[#This Row],[Test_Volume2]],"")</f>
        <v>-5.2434731274800583E-2</v>
      </c>
      <c r="R40" s="13">
        <f>IF(Table1[[#This Row],[Inclusion Flag2]]="Y",(Table1[[#This Row],[Difference_Volume2]]^2)/2,"")</f>
        <v>1.3747005219302752E-3</v>
      </c>
      <c r="S40" s="13">
        <f>IF(Table1[[#This Row],[Inclusion Flag2]]="Y",Table1[[#This Row],[Pair_Variance V2 is sq(Diff)/2]]/(Table1[[#This Row],[Average_Volume2]]^2),"")</f>
        <v>1.6933037340817377E-5</v>
      </c>
      <c r="W40" s="15"/>
    </row>
    <row r="42" spans="4:27" s="13" customFormat="1" x14ac:dyDescent="0.4">
      <c r="G42" s="15"/>
      <c r="O42" s="15"/>
      <c r="W42" s="15"/>
    </row>
    <row r="43" spans="4:27" s="13" customFormat="1" ht="15" thickBot="1" x14ac:dyDescent="0.45"/>
    <row r="44" spans="4:27" s="13" customFormat="1" x14ac:dyDescent="0.4">
      <c r="E44" s="19" t="s">
        <v>7</v>
      </c>
      <c r="F44" s="20"/>
      <c r="G44" s="21"/>
      <c r="H44" s="21" t="s">
        <v>18</v>
      </c>
      <c r="I44" s="20" t="s">
        <v>19</v>
      </c>
      <c r="J44" s="20"/>
      <c r="K44" s="22"/>
      <c r="M44" s="19" t="s">
        <v>7</v>
      </c>
      <c r="N44" s="20"/>
      <c r="O44" s="21"/>
      <c r="P44" s="21" t="s">
        <v>18</v>
      </c>
      <c r="Q44" s="20" t="s">
        <v>19</v>
      </c>
      <c r="R44" s="20"/>
      <c r="S44" s="22"/>
      <c r="W44" s="15"/>
      <c r="X44" s="15"/>
    </row>
    <row r="45" spans="4:27" s="13" customFormat="1" x14ac:dyDescent="0.4">
      <c r="E45" s="23" t="s">
        <v>8</v>
      </c>
      <c r="F45" s="13">
        <f>COUNT(H9:H40)</f>
        <v>32</v>
      </c>
      <c r="G45" s="24"/>
      <c r="H45" s="15" t="s">
        <v>20</v>
      </c>
      <c r="I45" s="15" t="s">
        <v>21</v>
      </c>
      <c r="K45" s="25"/>
      <c r="M45" s="23" t="s">
        <v>8</v>
      </c>
      <c r="N45" s="13">
        <f>COUNT(P9:P40)</f>
        <v>32</v>
      </c>
      <c r="O45" s="24"/>
      <c r="P45" s="15" t="s">
        <v>20</v>
      </c>
      <c r="Q45" s="15" t="s">
        <v>21</v>
      </c>
      <c r="S45" s="25"/>
      <c r="U45" s="26"/>
      <c r="W45" s="24"/>
      <c r="X45" s="15"/>
      <c r="Y45" s="15"/>
    </row>
    <row r="46" spans="4:27" s="13" customFormat="1" x14ac:dyDescent="0.4">
      <c r="E46" s="23" t="s">
        <v>9</v>
      </c>
      <c r="F46" s="13">
        <f>AVERAGE(K9:K40)</f>
        <v>5.9604079078377373E-3</v>
      </c>
      <c r="G46" s="24" t="s">
        <v>15</v>
      </c>
      <c r="H46" s="27">
        <f>(F45-1)/_xlfn.CHISQ.INV(0.975,F45-1)</f>
        <v>0.64272829160659484</v>
      </c>
      <c r="I46" s="27">
        <f>(F45-1)/_xlfn.CHISQ.INV(0.025,F45-1)</f>
        <v>1.7675159394155273</v>
      </c>
      <c r="K46" s="25"/>
      <c r="M46" s="23" t="s">
        <v>9</v>
      </c>
      <c r="N46" s="13">
        <f>AVERAGE(S9:S40)</f>
        <v>5.9532464265526488E-3</v>
      </c>
      <c r="O46" s="24" t="s">
        <v>15</v>
      </c>
      <c r="P46" s="27">
        <f>(N45-1)/_xlfn.CHISQ.INV(0.975,N45-1)</f>
        <v>0.64272829160659484</v>
      </c>
      <c r="Q46" s="27">
        <f>(N45-1)/_xlfn.CHISQ.INV(0.025,N45-1)</f>
        <v>1.7675159394155273</v>
      </c>
      <c r="S46" s="25"/>
      <c r="U46" s="26"/>
      <c r="W46" s="24"/>
    </row>
    <row r="47" spans="4:27" s="13" customFormat="1" x14ac:dyDescent="0.4">
      <c r="E47" s="23" t="s">
        <v>10</v>
      </c>
      <c r="F47" s="13">
        <f>100*SQRT(F46)</f>
        <v>7.720367807195287</v>
      </c>
      <c r="G47" s="24" t="s">
        <v>16</v>
      </c>
      <c r="H47" s="27">
        <f>F47*SQRT(H$46)</f>
        <v>6.1894448796988142</v>
      </c>
      <c r="I47" s="27">
        <f>F47*SQRT(I$46)</f>
        <v>10.264071308463107</v>
      </c>
      <c r="J47" s="13" t="s">
        <v>22</v>
      </c>
      <c r="K47" s="25"/>
      <c r="M47" s="23" t="s">
        <v>10</v>
      </c>
      <c r="N47" s="13">
        <f>100*SQRT(N46)</f>
        <v>7.7157283690865182</v>
      </c>
      <c r="O47" s="24" t="s">
        <v>16</v>
      </c>
      <c r="P47" s="27">
        <f>N47*SQRT(P$46)</f>
        <v>6.1857254265374975</v>
      </c>
      <c r="Q47" s="27">
        <f>N47*SQRT(Q$46)</f>
        <v>10.257903270259639</v>
      </c>
      <c r="R47" s="13" t="s">
        <v>22</v>
      </c>
      <c r="S47" s="25"/>
      <c r="U47" s="26"/>
      <c r="W47" s="24"/>
    </row>
    <row r="48" spans="4:27" s="13" customFormat="1" x14ac:dyDescent="0.4">
      <c r="E48" s="23" t="s">
        <v>11</v>
      </c>
      <c r="F48" s="13">
        <f>AVERAGE(J9:J40)</f>
        <v>0.21222281127148093</v>
      </c>
      <c r="G48" s="24" t="s">
        <v>44</v>
      </c>
      <c r="H48" s="27"/>
      <c r="I48" s="27"/>
      <c r="K48" s="25"/>
      <c r="M48" s="23" t="s">
        <v>11</v>
      </c>
      <c r="N48" s="13">
        <f>AVERAGE(R9:R40)</f>
        <v>0.26481692238889148</v>
      </c>
      <c r="O48" s="24" t="s">
        <v>44</v>
      </c>
      <c r="P48" s="27"/>
      <c r="Q48" s="27"/>
      <c r="S48" s="25"/>
      <c r="U48" s="26"/>
      <c r="W48" s="24"/>
    </row>
    <row r="49" spans="5:24" s="13" customFormat="1" x14ac:dyDescent="0.4">
      <c r="E49" s="23" t="s">
        <v>17</v>
      </c>
      <c r="F49" s="13">
        <f>SQRT(F48)</f>
        <v>0.46067647136735879</v>
      </c>
      <c r="G49" s="24" t="s">
        <v>44</v>
      </c>
      <c r="H49" s="27">
        <f>F49*SQRT(H$46)</f>
        <v>0.36932587903972791</v>
      </c>
      <c r="I49" s="27">
        <f>F49*SQRT(I$46)</f>
        <v>0.61245995920542906</v>
      </c>
      <c r="J49" s="13" t="s">
        <v>45</v>
      </c>
      <c r="K49" s="25"/>
      <c r="M49" s="23" t="s">
        <v>17</v>
      </c>
      <c r="N49" s="13">
        <f>SQRT(N48)</f>
        <v>0.51460365563109978</v>
      </c>
      <c r="O49" s="24" t="s">
        <v>44</v>
      </c>
      <c r="P49" s="27">
        <f>N49*SQRT(P$46)</f>
        <v>0.41255948433592998</v>
      </c>
      <c r="Q49" s="27">
        <f>N49*SQRT(Q$46)</f>
        <v>0.68415504920254033</v>
      </c>
      <c r="R49" s="13" t="s">
        <v>24</v>
      </c>
      <c r="S49" s="25"/>
      <c r="U49" s="26"/>
      <c r="W49" s="24"/>
    </row>
    <row r="50" spans="5:24" s="13" customFormat="1" x14ac:dyDescent="0.4">
      <c r="E50" s="23" t="s">
        <v>12</v>
      </c>
      <c r="F50" s="13">
        <f>1.96 * SQRT(2*F48)</f>
        <v>1.2769300308008431</v>
      </c>
      <c r="G50" s="24" t="s">
        <v>44</v>
      </c>
      <c r="H50" s="27">
        <f>F50*SQRT(H$46)</f>
        <v>1.0237191074637628</v>
      </c>
      <c r="I50" s="27">
        <f>F50*SQRT(I$46)</f>
        <v>1.6976523942088289</v>
      </c>
      <c r="J50" s="13" t="s">
        <v>46</v>
      </c>
      <c r="K50" s="25"/>
      <c r="M50" s="23" t="s">
        <v>12</v>
      </c>
      <c r="N50" s="13">
        <f>1.96 * SQRT(2*N48)</f>
        <v>1.4264085593189391</v>
      </c>
      <c r="O50" s="24" t="s">
        <v>44</v>
      </c>
      <c r="P50" s="27">
        <f>N50*SQRT(P$46)</f>
        <v>1.1435565473457043</v>
      </c>
      <c r="Q50" s="27">
        <f>N50*SQRT(Q$46)</f>
        <v>1.8963810447225988</v>
      </c>
      <c r="R50" s="13" t="s">
        <v>25</v>
      </c>
      <c r="S50" s="25"/>
      <c r="U50" s="26"/>
      <c r="W50" s="24"/>
    </row>
    <row r="51" spans="5:24" s="13" customFormat="1" x14ac:dyDescent="0.4">
      <c r="E51" s="23" t="s">
        <v>13</v>
      </c>
      <c r="F51" s="13">
        <f>AVERAGE(H9:H40)</f>
        <v>7.7323757060396874</v>
      </c>
      <c r="G51" s="24" t="s">
        <v>44</v>
      </c>
      <c r="K51" s="25"/>
      <c r="M51" s="23" t="s">
        <v>13</v>
      </c>
      <c r="N51" s="13">
        <f>AVERAGE(P9:P40)</f>
        <v>7.6103604542339749</v>
      </c>
      <c r="O51" s="24" t="s">
        <v>44</v>
      </c>
      <c r="S51" s="25"/>
      <c r="U51" s="26"/>
      <c r="W51" s="24"/>
    </row>
    <row r="52" spans="5:24" s="13" customFormat="1" x14ac:dyDescent="0.4">
      <c r="E52" s="23" t="s">
        <v>14</v>
      </c>
      <c r="F52" s="13">
        <f>AVERAGE(I9:I40)</f>
        <v>-0.18547618597540624</v>
      </c>
      <c r="G52" s="24" t="s">
        <v>44</v>
      </c>
      <c r="K52" s="25"/>
      <c r="M52" s="23" t="s">
        <v>14</v>
      </c>
      <c r="N52" s="13">
        <f>AVERAGE(Q9:Q40)</f>
        <v>-0.12931003476811304</v>
      </c>
      <c r="O52" s="24" t="s">
        <v>44</v>
      </c>
      <c r="S52" s="25"/>
      <c r="U52" s="26"/>
      <c r="W52" s="24"/>
    </row>
    <row r="53" spans="5:24" s="13" customFormat="1" ht="15" thickBot="1" x14ac:dyDescent="0.45">
      <c r="E53" s="28" t="s">
        <v>23</v>
      </c>
      <c r="F53" s="29" t="s">
        <v>23</v>
      </c>
      <c r="G53" s="30"/>
      <c r="H53" s="31"/>
      <c r="I53" s="31"/>
      <c r="J53" s="31"/>
      <c r="K53" s="32"/>
      <c r="M53" s="28" t="s">
        <v>23</v>
      </c>
      <c r="N53" s="29" t="s">
        <v>23</v>
      </c>
      <c r="O53" s="30"/>
      <c r="P53" s="31"/>
      <c r="Q53" s="31"/>
      <c r="R53" s="31"/>
      <c r="S53" s="32"/>
      <c r="U53" s="26"/>
      <c r="V53" s="26"/>
      <c r="W53" s="15"/>
    </row>
    <row r="54" spans="5:24" s="13" customFormat="1" x14ac:dyDescent="0.4">
      <c r="G54" s="15"/>
      <c r="O54" s="15"/>
    </row>
    <row r="55" spans="5:24" s="13" customFormat="1" x14ac:dyDescent="0.4">
      <c r="G55" s="15"/>
      <c r="O55" s="15"/>
      <c r="W55" s="15"/>
      <c r="X55" s="15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8EA15-53C8-4E54-B8CA-ABB6CA78734C}">
  <dimension ref="A1:G5"/>
  <sheetViews>
    <sheetView workbookViewId="0"/>
  </sheetViews>
  <sheetFormatPr defaultRowHeight="14.6" x14ac:dyDescent="0.4"/>
  <cols>
    <col min="1" max="1" width="16.15234375" bestFit="1" customWidth="1"/>
    <col min="2" max="2" width="18.3828125" bestFit="1" customWidth="1"/>
    <col min="3" max="3" width="16.3828125" bestFit="1" customWidth="1"/>
    <col min="4" max="4" width="19.84375" bestFit="1" customWidth="1"/>
    <col min="5" max="5" width="22" bestFit="1" customWidth="1"/>
    <col min="6" max="6" width="29.53515625" bestFit="1" customWidth="1"/>
    <col min="7" max="7" width="26.3828125" bestFit="1" customWidth="1"/>
  </cols>
  <sheetData>
    <row r="1" spans="1:7" x14ac:dyDescent="0.4">
      <c r="A1" t="s">
        <v>87</v>
      </c>
      <c r="B1" t="s">
        <v>96</v>
      </c>
      <c r="C1" t="s">
        <v>97</v>
      </c>
      <c r="D1" t="s">
        <v>88</v>
      </c>
      <c r="E1" t="s">
        <v>89</v>
      </c>
      <c r="F1" t="s">
        <v>95</v>
      </c>
      <c r="G1" t="s">
        <v>98</v>
      </c>
    </row>
    <row r="2" spans="1:7" x14ac:dyDescent="0.4">
      <c r="A2">
        <v>7.9669208824899993</v>
      </c>
      <c r="B2">
        <v>8.4735793768899992</v>
      </c>
      <c r="C2" t="s">
        <v>1</v>
      </c>
      <c r="D2">
        <v>8.2202501296899992</v>
      </c>
      <c r="E2">
        <v>0.50665849439999988</v>
      </c>
      <c r="F2">
        <v>0.12835141497383737</v>
      </c>
      <c r="G2">
        <v>1.8994619380743468E-3</v>
      </c>
    </row>
    <row r="3" spans="1:7" x14ac:dyDescent="0.4">
      <c r="A3">
        <v>8.0136690000000002</v>
      </c>
      <c r="B3">
        <v>9.2089290599999991</v>
      </c>
      <c r="C3" t="s">
        <v>1</v>
      </c>
      <c r="D3">
        <v>8.6112990299999996</v>
      </c>
      <c r="E3">
        <v>1.195260059999999</v>
      </c>
      <c r="F3">
        <v>0.71432330551560053</v>
      </c>
      <c r="G3">
        <v>9.6329094663620031E-3</v>
      </c>
    </row>
    <row r="4" spans="1:7" x14ac:dyDescent="0.4">
      <c r="A4">
        <v>8.5986643285</v>
      </c>
      <c r="B4">
        <v>9.064259483499999</v>
      </c>
      <c r="C4" t="s">
        <v>1</v>
      </c>
      <c r="D4">
        <v>8.8314619059999995</v>
      </c>
      <c r="E4">
        <v>0.46559515499999904</v>
      </c>
      <c r="F4">
        <v>0.10838942417973657</v>
      </c>
      <c r="G4">
        <v>1.3897020851866312E-3</v>
      </c>
    </row>
    <row r="5" spans="1:7" x14ac:dyDescent="0.4">
      <c r="A5">
        <v>8.1747643948000004</v>
      </c>
      <c r="B5">
        <v>8.4186174867999988</v>
      </c>
      <c r="C5" t="s">
        <v>1</v>
      </c>
      <c r="D5">
        <v>8.2966909407999996</v>
      </c>
      <c r="E5">
        <v>0.24385309199999838</v>
      </c>
      <c r="F5">
        <v>2.9732165238979837E-2</v>
      </c>
      <c r="G5">
        <v>4.3193332518837266E-4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8C240-E46D-4E39-B926-3A369F541802}">
  <dimension ref="A3:Q21"/>
  <sheetViews>
    <sheetView workbookViewId="0">
      <selection activeCell="B1" sqref="A1:XFD1048576"/>
    </sheetView>
  </sheetViews>
  <sheetFormatPr defaultRowHeight="14.6" x14ac:dyDescent="0.4"/>
  <cols>
    <col min="1" max="1" width="12" style="13" customWidth="1"/>
    <col min="2" max="2" width="15.3046875" style="13" customWidth="1"/>
    <col min="3" max="3" width="15.84375" style="13" customWidth="1"/>
    <col min="4" max="4" width="12.3828125" style="13" customWidth="1"/>
    <col min="5" max="5" width="11.3828125" style="13" customWidth="1"/>
    <col min="6" max="6" width="12.15234375" style="13" customWidth="1"/>
    <col min="7" max="7" width="13.3046875" style="13" customWidth="1"/>
    <col min="8" max="8" width="16" style="13" customWidth="1"/>
    <col min="9" max="9" width="15.3828125" style="13" customWidth="1"/>
    <col min="10" max="10" width="9.23046875" style="13"/>
    <col min="11" max="11" width="15" style="13" customWidth="1"/>
    <col min="12" max="12" width="16.3828125" style="13" customWidth="1"/>
    <col min="13" max="13" width="6.3828125" style="13" customWidth="1"/>
    <col min="14" max="14" width="13.53515625" style="13" customWidth="1"/>
    <col min="15" max="15" width="13.3046875" style="13" customWidth="1"/>
    <col min="16" max="16" width="18.84375" style="13" customWidth="1"/>
    <col min="17" max="17" width="16.15234375" style="13" customWidth="1"/>
    <col min="18" max="16384" width="9.23046875" style="13"/>
  </cols>
  <sheetData>
    <row r="3" spans="1:17" x14ac:dyDescent="0.4">
      <c r="B3" s="53" t="s">
        <v>124</v>
      </c>
      <c r="C3" s="53"/>
      <c r="D3" s="42"/>
      <c r="K3" s="13" t="s">
        <v>128</v>
      </c>
    </row>
    <row r="5" spans="1:17" ht="43.75" x14ac:dyDescent="0.4">
      <c r="A5" s="13" t="s">
        <v>114</v>
      </c>
      <c r="B5" s="13" t="s">
        <v>60</v>
      </c>
      <c r="C5" s="14" t="s">
        <v>83</v>
      </c>
      <c r="D5" s="14" t="s">
        <v>84</v>
      </c>
      <c r="E5" s="14" t="s">
        <v>90</v>
      </c>
      <c r="F5" s="14" t="s">
        <v>85</v>
      </c>
      <c r="G5" s="14" t="s">
        <v>86</v>
      </c>
      <c r="H5" s="14" t="s">
        <v>115</v>
      </c>
      <c r="I5" s="14" t="s">
        <v>98</v>
      </c>
      <c r="K5" s="54" t="s">
        <v>87</v>
      </c>
      <c r="L5" s="54" t="s">
        <v>96</v>
      </c>
      <c r="M5" s="54" t="s">
        <v>97</v>
      </c>
      <c r="N5" s="54" t="s">
        <v>88</v>
      </c>
      <c r="O5" s="54" t="s">
        <v>89</v>
      </c>
      <c r="P5" s="54" t="s">
        <v>92</v>
      </c>
      <c r="Q5" s="54" t="s">
        <v>98</v>
      </c>
    </row>
    <row r="6" spans="1:17" x14ac:dyDescent="0.4">
      <c r="B6" s="13" t="s">
        <v>58</v>
      </c>
      <c r="C6" s="27">
        <v>8.7742889999999996</v>
      </c>
      <c r="D6" s="27">
        <v>9.1621798999999999</v>
      </c>
      <c r="E6" s="13" t="s">
        <v>1</v>
      </c>
      <c r="F6" s="27">
        <f>(Table14[[#This Row],[Test_Volume]]+Table14[[#This Row],[ReTest_Volume]])/2</f>
        <v>8.9682344500000006</v>
      </c>
      <c r="G6" s="27">
        <f>Table14[[#This Row],[Test_Volume]]-Table14[[#This Row],[ReTest_Volume]]</f>
        <v>-0.38789090000000037</v>
      </c>
      <c r="H6" s="27">
        <f>(Table14[[#This Row],[Difference_Volume]]^2)/2</f>
        <v>7.5229675151405148E-2</v>
      </c>
      <c r="I6" s="27">
        <f>Table14[[#This Row],[Pair_Variance V is sq(Diff)/22]]/(Table14[[#This Row],[Average_Volume]]^2)</f>
        <v>9.3535243276976151E-4</v>
      </c>
      <c r="K6" s="27">
        <v>7.9669208824899993</v>
      </c>
      <c r="L6" s="27">
        <v>8.4735793768899992</v>
      </c>
      <c r="M6" s="15" t="s">
        <v>1</v>
      </c>
      <c r="N6" s="13">
        <f>(Table16[[#This Row],[Test_Volume2]]+Table16[[#This Row],[ReTest_Volume2]])/2</f>
        <v>8.2202501296899992</v>
      </c>
      <c r="O6" s="27">
        <f>(Table16[[#This Row],[ReTest_Volume2]]-Table16[[#This Row],[Test_Volume2]])</f>
        <v>0.50665849439999988</v>
      </c>
      <c r="P6" s="13">
        <f>(Table16[[#This Row],[Difference_Volume2]]^2)/2</f>
        <v>0.12835141497383737</v>
      </c>
      <c r="Q6" s="13">
        <f>Table16[[#This Row],[Pair_Variance V is sq(Diff)/2]]/(Table16[[#This Row],[Average_Volume2]]^2)</f>
        <v>1.8994619380743468E-3</v>
      </c>
    </row>
    <row r="7" spans="1:17" x14ac:dyDescent="0.4">
      <c r="B7" s="13" t="s">
        <v>58</v>
      </c>
      <c r="C7" s="27">
        <v>9.3820265999999997</v>
      </c>
      <c r="D7" s="27">
        <v>9.6258789999999994</v>
      </c>
      <c r="E7" s="13" t="s">
        <v>1</v>
      </c>
      <c r="F7" s="27">
        <f>(Table14[[#This Row],[Test_Volume]]+Table14[[#This Row],[ReTest_Volume]])/2</f>
        <v>9.5039528000000004</v>
      </c>
      <c r="G7" s="27">
        <f>Table14[[#This Row],[Test_Volume]]-Table14[[#This Row],[ReTest_Volume]]</f>
        <v>-0.24385239999999975</v>
      </c>
      <c r="H7" s="27">
        <f>(Table14[[#This Row],[Difference_Volume]]^2)/2</f>
        <v>2.9731996492879938E-2</v>
      </c>
      <c r="I7" s="27">
        <f>Table14[[#This Row],[Pair_Variance V is sq(Diff)/22]]/(Table14[[#This Row],[Average_Volume]]^2)</f>
        <v>3.2916642546141083E-4</v>
      </c>
      <c r="K7" s="27">
        <v>8.0136690000000002</v>
      </c>
      <c r="L7" s="27">
        <v>9.2089290599999991</v>
      </c>
      <c r="M7" s="15" t="s">
        <v>1</v>
      </c>
      <c r="N7" s="13">
        <f>(Table16[[#This Row],[Test_Volume2]]+Table16[[#This Row],[ReTest_Volume2]])/2</f>
        <v>8.6112990299999996</v>
      </c>
      <c r="O7" s="27">
        <f>(Table16[[#This Row],[ReTest_Volume2]]-Table16[[#This Row],[Test_Volume2]])</f>
        <v>1.195260059999999</v>
      </c>
      <c r="P7" s="13">
        <f>(Table16[[#This Row],[Difference_Volume2]]^2)/2</f>
        <v>0.71432330551560053</v>
      </c>
      <c r="Q7" s="13">
        <f>Table16[[#This Row],[Pair_Variance V is sq(Diff)/2]]/(Table16[[#This Row],[Average_Volume2]]^2)</f>
        <v>9.6329094663620031E-3</v>
      </c>
    </row>
    <row r="8" spans="1:17" x14ac:dyDescent="0.4">
      <c r="B8" s="13" t="s">
        <v>58</v>
      </c>
      <c r="C8" s="27">
        <v>9.3295910000000006</v>
      </c>
      <c r="D8" s="27">
        <v>9.1476488000000007</v>
      </c>
      <c r="E8" s="13" t="s">
        <v>1</v>
      </c>
      <c r="F8" s="27">
        <f>(Table14[[#This Row],[Test_Volume]]+Table14[[#This Row],[ReTest_Volume]])/2</f>
        <v>9.2386198999999998</v>
      </c>
      <c r="G8" s="27">
        <f>Table14[[#This Row],[Test_Volume]]-Table14[[#This Row],[ReTest_Volume]]</f>
        <v>0.18194219999999994</v>
      </c>
      <c r="H8" s="27">
        <f>(Table14[[#This Row],[Difference_Volume]]^2)/2</f>
        <v>1.6551482070419989E-2</v>
      </c>
      <c r="I8" s="27">
        <f>Table14[[#This Row],[Pair_Variance V is sq(Diff)/22]]/(Table14[[#This Row],[Average_Volume]]^2)</f>
        <v>1.9392003857945461E-4</v>
      </c>
      <c r="K8" s="27">
        <v>8.5986643285</v>
      </c>
      <c r="L8" s="27">
        <v>9.064259483499999</v>
      </c>
      <c r="M8" s="15" t="s">
        <v>1</v>
      </c>
      <c r="N8" s="13">
        <f>(Table16[[#This Row],[Test_Volume2]]+Table16[[#This Row],[ReTest_Volume2]])/2</f>
        <v>8.8314619059999995</v>
      </c>
      <c r="O8" s="27">
        <f>(Table16[[#This Row],[ReTest_Volume2]]-Table16[[#This Row],[Test_Volume2]])</f>
        <v>0.46559515499999904</v>
      </c>
      <c r="P8" s="13">
        <f>(Table16[[#This Row],[Difference_Volume2]]^2)/2</f>
        <v>0.10838942417973657</v>
      </c>
      <c r="Q8" s="13">
        <f>Table16[[#This Row],[Pair_Variance V is sq(Diff)/2]]/(Table16[[#This Row],[Average_Volume2]]^2)</f>
        <v>1.3897020851866312E-3</v>
      </c>
    </row>
    <row r="9" spans="1:17" x14ac:dyDescent="0.4">
      <c r="B9" s="13" t="s">
        <v>58</v>
      </c>
      <c r="C9" s="27">
        <v>8.9998210000000007</v>
      </c>
      <c r="D9" s="27">
        <v>9.7187400000000004</v>
      </c>
      <c r="F9" s="27">
        <f>(Table14[[#This Row],[Test_Volume]]+Table14[[#This Row],[ReTest_Volume]])/2</f>
        <v>9.3592805000000006</v>
      </c>
      <c r="G9" s="27">
        <f>Table14[[#This Row],[Test_Volume]]-Table14[[#This Row],[ReTest_Volume]]</f>
        <v>-0.71891899999999964</v>
      </c>
      <c r="H9" s="27">
        <f>(Table14[[#This Row],[Difference_Volume]]^2)/2</f>
        <v>0.25842226428049975</v>
      </c>
      <c r="I9" s="27">
        <f>Table14[[#This Row],[Pair_Variance V is sq(Diff)/22]]/(Table14[[#This Row],[Average_Volume]]^2)</f>
        <v>2.9501561304262217E-3</v>
      </c>
      <c r="K9" s="27">
        <v>8.1747643948000004</v>
      </c>
      <c r="L9" s="27">
        <v>8.4186174867999988</v>
      </c>
      <c r="M9" s="15" t="s">
        <v>1</v>
      </c>
      <c r="N9" s="13">
        <f>(Table16[[#This Row],[Test_Volume2]]+Table16[[#This Row],[ReTest_Volume2]])/2</f>
        <v>8.2966909407999996</v>
      </c>
      <c r="O9" s="27">
        <f>(Table16[[#This Row],[ReTest_Volume2]]-Table16[[#This Row],[Test_Volume2]])</f>
        <v>0.24385309199999838</v>
      </c>
      <c r="P9" s="13">
        <f>(Table16[[#This Row],[Difference_Volume2]]^2)/2</f>
        <v>2.9732165238979837E-2</v>
      </c>
      <c r="Q9" s="13">
        <f>Table16[[#This Row],[Pair_Variance V is sq(Diff)/2]]/(Table16[[#This Row],[Average_Volume2]]^2)</f>
        <v>4.3193332518837266E-4</v>
      </c>
    </row>
    <row r="11" spans="1:17" ht="15" thickBot="1" x14ac:dyDescent="0.45"/>
    <row r="12" spans="1:17" x14ac:dyDescent="0.4">
      <c r="B12" s="19" t="s">
        <v>7</v>
      </c>
      <c r="C12" s="20"/>
      <c r="D12" s="21"/>
      <c r="E12" s="21" t="s">
        <v>18</v>
      </c>
      <c r="F12" s="20" t="s">
        <v>19</v>
      </c>
      <c r="G12" s="20"/>
      <c r="H12" s="22"/>
      <c r="K12" s="19" t="s">
        <v>7</v>
      </c>
      <c r="L12" s="20"/>
      <c r="M12" s="21"/>
      <c r="N12" s="21" t="s">
        <v>18</v>
      </c>
      <c r="O12" s="20" t="s">
        <v>19</v>
      </c>
      <c r="P12" s="20"/>
      <c r="Q12" s="22"/>
    </row>
    <row r="13" spans="1:17" x14ac:dyDescent="0.4">
      <c r="B13" s="23" t="s">
        <v>8</v>
      </c>
      <c r="C13" s="13">
        <f>COUNT(Table14[Average_Volume])</f>
        <v>4</v>
      </c>
      <c r="D13" s="24"/>
      <c r="E13" s="15" t="s">
        <v>20</v>
      </c>
      <c r="F13" s="15" t="s">
        <v>21</v>
      </c>
      <c r="H13" s="25"/>
      <c r="K13" s="23" t="s">
        <v>8</v>
      </c>
      <c r="L13" s="13">
        <f>COUNT(Table1[Average_Volume])</f>
        <v>32</v>
      </c>
      <c r="M13" s="24"/>
      <c r="N13" s="15" t="s">
        <v>20</v>
      </c>
      <c r="O13" s="15" t="s">
        <v>21</v>
      </c>
      <c r="Q13" s="25"/>
    </row>
    <row r="14" spans="1:17" x14ac:dyDescent="0.4">
      <c r="B14" s="23" t="s">
        <v>9</v>
      </c>
      <c r="C14" s="27">
        <f>AVERAGE(Table14[Pairwise_wCV2   is V/M^2])</f>
        <v>1.1021487568092121E-3</v>
      </c>
      <c r="D14" s="24" t="s">
        <v>15</v>
      </c>
      <c r="E14" s="27">
        <f>(C13-1)/_xlfn.CHISQ.INV(0.975,C13-1)</f>
        <v>0.32091040640961821</v>
      </c>
      <c r="F14" s="27">
        <f>(C13-1)/_xlfn.CHISQ.INV(0.025,C13-1)</f>
        <v>13.902064788082491</v>
      </c>
      <c r="H14" s="25"/>
      <c r="K14" s="23" t="s">
        <v>9</v>
      </c>
      <c r="L14" s="27">
        <f>AVERAGE(Table16[Pairwise_wCV2   is V/M^2])</f>
        <v>3.3385017037028389E-3</v>
      </c>
      <c r="M14" s="24" t="s">
        <v>15</v>
      </c>
      <c r="N14" s="27">
        <f>(L13-1)/_xlfn.CHISQ.INV(0.975,L13-1)</f>
        <v>0.64272829160659484</v>
      </c>
      <c r="O14" s="27">
        <f>(L13-1)/_xlfn.CHISQ.INV(0.025,L13-1)</f>
        <v>1.7675159394155273</v>
      </c>
      <c r="Q14" s="25"/>
    </row>
    <row r="15" spans="1:17" x14ac:dyDescent="0.4">
      <c r="B15" s="23" t="s">
        <v>10</v>
      </c>
      <c r="C15" s="27">
        <f>100*SQRT(C14)</f>
        <v>3.31986258271214</v>
      </c>
      <c r="D15" s="24" t="s">
        <v>16</v>
      </c>
      <c r="E15" s="27">
        <f>C15*SQRT(E14)</f>
        <v>1.8806674492623614</v>
      </c>
      <c r="F15" s="27">
        <f>C15*SQRT(F14)</f>
        <v>12.378264588893808</v>
      </c>
      <c r="G15" s="13" t="s">
        <v>22</v>
      </c>
      <c r="H15" s="25"/>
      <c r="K15" s="23" t="s">
        <v>10</v>
      </c>
      <c r="L15" s="27">
        <f>100*SQRT(L14)</f>
        <v>5.7779768982774922</v>
      </c>
      <c r="M15" s="24" t="s">
        <v>16</v>
      </c>
      <c r="N15" s="27">
        <f>L15*SQRT(N14)</f>
        <v>4.6322235444186326</v>
      </c>
      <c r="O15" s="27">
        <f>L15*SQRT(O14)</f>
        <v>7.6817022690681407</v>
      </c>
      <c r="P15" s="13" t="s">
        <v>22</v>
      </c>
      <c r="Q15" s="25"/>
    </row>
    <row r="16" spans="1:17" x14ac:dyDescent="0.4">
      <c r="B16" s="23" t="s">
        <v>11</v>
      </c>
      <c r="C16" s="27">
        <f>AVERAGE(Table14[Pair_Variance V is sq(Diff)/22])</f>
        <v>9.4983854498801201E-2</v>
      </c>
      <c r="D16" s="24" t="s">
        <v>44</v>
      </c>
      <c r="E16" s="27"/>
      <c r="F16" s="27"/>
      <c r="H16" s="25"/>
      <c r="K16" s="23" t="s">
        <v>11</v>
      </c>
      <c r="L16" s="27">
        <f>AVERAGE(Table16[Pair_Variance V is sq(Diff)/2])</f>
        <v>0.24519907747703859</v>
      </c>
      <c r="M16" s="24" t="s">
        <v>44</v>
      </c>
      <c r="N16" s="27"/>
      <c r="O16" s="27"/>
      <c r="Q16" s="25"/>
    </row>
    <row r="17" spans="2:17" x14ac:dyDescent="0.4">
      <c r="B17" s="23" t="s">
        <v>17</v>
      </c>
      <c r="C17" s="27">
        <f>SQRT(C16)</f>
        <v>0.30819450757403383</v>
      </c>
      <c r="D17" s="24" t="s">
        <v>44</v>
      </c>
      <c r="E17" s="27">
        <f>C17*SQRT(E14)</f>
        <v>0.17458896686091688</v>
      </c>
      <c r="F17" s="27">
        <f>C17*SQRT(F14)</f>
        <v>1.1491177916402369</v>
      </c>
      <c r="G17" s="13" t="s">
        <v>26</v>
      </c>
      <c r="H17" s="25"/>
      <c r="K17" s="23" t="s">
        <v>17</v>
      </c>
      <c r="L17" s="27">
        <f>SQRT(L16)</f>
        <v>0.49517580461593497</v>
      </c>
      <c r="M17" s="24" t="s">
        <v>44</v>
      </c>
      <c r="N17" s="27">
        <f>L17*SQRT(N14)</f>
        <v>0.39698411072778483</v>
      </c>
      <c r="O17" s="27">
        <f>L17*SQRT(O14)</f>
        <v>0.65832611809850639</v>
      </c>
      <c r="P17" s="13" t="s">
        <v>26</v>
      </c>
      <c r="Q17" s="25"/>
    </row>
    <row r="18" spans="2:17" x14ac:dyDescent="0.4">
      <c r="B18" s="23" t="s">
        <v>12</v>
      </c>
      <c r="C18" s="27">
        <f>1.96 * SQRT(2*C16)</f>
        <v>0.8542715908217885</v>
      </c>
      <c r="D18" s="24" t="s">
        <v>44</v>
      </c>
      <c r="E18" s="27">
        <f>C18*SQRT(E14)</f>
        <v>0.48393592615981434</v>
      </c>
      <c r="F18" s="27">
        <f>C18*SQRT(F14)</f>
        <v>3.1851920127756128</v>
      </c>
      <c r="G18" s="13" t="s">
        <v>27</v>
      </c>
      <c r="H18" s="25"/>
      <c r="K18" s="23" t="s">
        <v>12</v>
      </c>
      <c r="L18" s="27">
        <f>1.96 * SQRT(2*L16)</f>
        <v>1.3725573037478553</v>
      </c>
      <c r="M18" s="24" t="s">
        <v>44</v>
      </c>
      <c r="N18" s="27">
        <f>L18*SQRT(N14)</f>
        <v>1.1003838143381972</v>
      </c>
      <c r="O18" s="27">
        <f>L18*SQRT(O14)</f>
        <v>1.8247869003715054</v>
      </c>
      <c r="P18" s="13" t="s">
        <v>27</v>
      </c>
      <c r="Q18" s="25"/>
    </row>
    <row r="19" spans="2:17" x14ac:dyDescent="0.4">
      <c r="B19" s="23" t="s">
        <v>13</v>
      </c>
      <c r="C19" s="27">
        <f>AVERAGE(Table14[Average_Volume])</f>
        <v>9.2675219125000012</v>
      </c>
      <c r="D19" s="24" t="s">
        <v>44</v>
      </c>
      <c r="H19" s="25"/>
      <c r="K19" s="23" t="s">
        <v>13</v>
      </c>
      <c r="L19" s="27">
        <f>AVERAGE(Table16[Average_Volume2])</f>
        <v>8.4899255016224995</v>
      </c>
      <c r="M19" s="24" t="s">
        <v>44</v>
      </c>
      <c r="Q19" s="25"/>
    </row>
    <row r="20" spans="2:17" x14ac:dyDescent="0.4">
      <c r="B20" s="23" t="s">
        <v>14</v>
      </c>
      <c r="C20" s="27">
        <f>AVERAGE(Table14[Difference_Volume])</f>
        <v>-0.29218002499999995</v>
      </c>
      <c r="D20" s="24" t="s">
        <v>44</v>
      </c>
      <c r="H20" s="25"/>
      <c r="K20" s="23" t="s">
        <v>14</v>
      </c>
      <c r="L20" s="27">
        <f>AVERAGE(Table16[Difference_Volume2])</f>
        <v>0.60284170034999907</v>
      </c>
      <c r="M20" s="24" t="s">
        <v>44</v>
      </c>
      <c r="Q20" s="25"/>
    </row>
    <row r="21" spans="2:17" ht="15" thickBot="1" x14ac:dyDescent="0.45">
      <c r="B21" s="28" t="s">
        <v>23</v>
      </c>
      <c r="C21" s="29" t="s">
        <v>23</v>
      </c>
      <c r="D21" s="30"/>
      <c r="E21" s="31"/>
      <c r="F21" s="31"/>
      <c r="G21" s="31"/>
      <c r="H21" s="32"/>
      <c r="K21" s="28" t="s">
        <v>23</v>
      </c>
      <c r="L21" s="29" t="s">
        <v>23</v>
      </c>
      <c r="M21" s="30"/>
      <c r="N21" s="31"/>
      <c r="O21" s="31"/>
      <c r="P21" s="31"/>
      <c r="Q21" s="32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C415A-783E-4DA0-AE62-E22EEC48D986}">
  <dimension ref="B4:Z28"/>
  <sheetViews>
    <sheetView zoomScaleNormal="100" workbookViewId="0">
      <selection activeCell="M29" sqref="A1:XFD1048576"/>
    </sheetView>
  </sheetViews>
  <sheetFormatPr defaultRowHeight="14.6" x14ac:dyDescent="0.4"/>
  <cols>
    <col min="1" max="1" width="9.23046875" style="13"/>
    <col min="2" max="2" width="15.15234375" style="13" customWidth="1"/>
    <col min="3" max="4" width="10.53515625" style="13" customWidth="1"/>
    <col min="5" max="5" width="9.23046875" style="13"/>
    <col min="6" max="6" width="10.69140625" style="13" bestFit="1" customWidth="1"/>
    <col min="7" max="7" width="11.53515625" style="13" bestFit="1" customWidth="1"/>
    <col min="8" max="9" width="10.53515625" style="13" bestFit="1" customWidth="1"/>
    <col min="10" max="10" width="9.23046875" style="13"/>
    <col min="11" max="12" width="10.53515625" style="13" bestFit="1" customWidth="1"/>
    <col min="13" max="13" width="9.23046875" style="13"/>
    <col min="14" max="14" width="10.69140625" style="13" bestFit="1" customWidth="1"/>
    <col min="15" max="15" width="11.53515625" style="13" bestFit="1" customWidth="1"/>
    <col min="16" max="17" width="10.53515625" style="13" bestFit="1" customWidth="1"/>
    <col min="18" max="18" width="9.23046875" style="13"/>
    <col min="19" max="20" width="10.53515625" style="13" bestFit="1" customWidth="1"/>
    <col min="21" max="21" width="9.23046875" style="13"/>
    <col min="22" max="22" width="10.69140625" style="13" bestFit="1" customWidth="1"/>
    <col min="23" max="23" width="11.53515625" style="13" bestFit="1" customWidth="1"/>
    <col min="24" max="25" width="10.53515625" style="13" bestFit="1" customWidth="1"/>
    <col min="26" max="16384" width="9.23046875" style="13"/>
  </cols>
  <sheetData>
    <row r="4" spans="2:26" x14ac:dyDescent="0.4"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2:26" x14ac:dyDescent="0.4">
      <c r="C5" s="13" t="s">
        <v>34</v>
      </c>
    </row>
    <row r="6" spans="2:26" x14ac:dyDescent="0.4">
      <c r="B6" s="13" t="s">
        <v>60</v>
      </c>
      <c r="C6" s="13" t="s">
        <v>48</v>
      </c>
      <c r="D6" s="13" t="s">
        <v>47</v>
      </c>
      <c r="E6" s="13" t="s">
        <v>2</v>
      </c>
      <c r="F6" s="13" t="s">
        <v>3</v>
      </c>
      <c r="G6" s="13" t="s">
        <v>4</v>
      </c>
      <c r="H6" s="13" t="s">
        <v>5</v>
      </c>
      <c r="I6" s="13" t="s">
        <v>6</v>
      </c>
      <c r="J6" s="13" t="s">
        <v>41</v>
      </c>
      <c r="K6" s="13" t="s">
        <v>0</v>
      </c>
      <c r="L6" s="13" t="s">
        <v>75</v>
      </c>
      <c r="M6" s="13" t="s">
        <v>76</v>
      </c>
      <c r="N6" s="13" t="s">
        <v>77</v>
      </c>
      <c r="O6" s="13" t="s">
        <v>78</v>
      </c>
      <c r="P6" s="13" t="s">
        <v>79</v>
      </c>
      <c r="Q6" s="13" t="s">
        <v>80</v>
      </c>
      <c r="R6" s="13" t="s">
        <v>93</v>
      </c>
      <c r="S6" s="13" t="s">
        <v>107</v>
      </c>
      <c r="T6" s="13" t="s">
        <v>108</v>
      </c>
      <c r="U6" s="13" t="s">
        <v>109</v>
      </c>
      <c r="V6" s="13" t="s">
        <v>110</v>
      </c>
      <c r="W6" s="13" t="s">
        <v>111</v>
      </c>
      <c r="X6" s="13" t="s">
        <v>112</v>
      </c>
      <c r="Y6" s="13" t="s">
        <v>113</v>
      </c>
      <c r="Z6" s="13" t="s">
        <v>43</v>
      </c>
    </row>
    <row r="7" spans="2:26" x14ac:dyDescent="0.4">
      <c r="B7" s="13" t="s">
        <v>65</v>
      </c>
      <c r="C7" s="27">
        <v>7.4027719999999997</v>
      </c>
      <c r="D7" s="27">
        <v>5.6945379999999997</v>
      </c>
      <c r="E7" s="15" t="s">
        <v>1</v>
      </c>
      <c r="F7" s="27">
        <f>IF(Table1367410[[#This Row],[Incl T2 TvsRT]]="Y",(Table1367410[[#This Row],[T1 Test]]+Table1367410[[#This Row],[T1 ReTest]])/2,"")</f>
        <v>6.5486550000000001</v>
      </c>
      <c r="G7" s="27">
        <f>IF(Table1367410[[#This Row],[Incl T2 TvsRT]]="Y",(Table1367410[[#This Row],[T1 ReTest]]-Table1367410[[#This Row],[T1 Test]]),"")</f>
        <v>-1.708234</v>
      </c>
      <c r="H7" s="27">
        <f>IF(Table1367410[[#This Row],[Incl T2 TvsRT]]="Y",(Table1367410[[#This Row],[Diff T2 TvsRT]]^2)/2,"")</f>
        <v>1.4590316993780001</v>
      </c>
      <c r="I7" s="27">
        <f>IF(Table1367410[[#This Row],[Incl T2 TvsRT]]="Y",Table1367410[[#This Row],[V T2 TvsRT]]/(Table1367410[[#This Row],[Ave T2 TvsRT]]^2),"")</f>
        <v>3.4022052080365649E-2</v>
      </c>
      <c r="K7" s="55"/>
      <c r="L7" s="55"/>
      <c r="M7" s="56"/>
      <c r="N7" s="55"/>
      <c r="O7" s="55"/>
      <c r="P7" s="55"/>
      <c r="Q7" s="55"/>
      <c r="R7" s="46"/>
      <c r="S7" s="55"/>
      <c r="T7" s="55"/>
      <c r="U7" s="56"/>
      <c r="V7" s="55"/>
      <c r="W7" s="55"/>
      <c r="X7" s="55"/>
      <c r="Y7" s="27"/>
    </row>
    <row r="8" spans="2:26" x14ac:dyDescent="0.4">
      <c r="B8" s="13" t="s">
        <v>66</v>
      </c>
      <c r="C8" s="27">
        <v>8.1798000000000002</v>
      </c>
      <c r="D8" s="27">
        <v>8.9240119999999994</v>
      </c>
      <c r="E8" s="15" t="s">
        <v>1</v>
      </c>
      <c r="F8" s="27">
        <f>IF(Table1367410[[#This Row],[Incl T2 TvsRT]]="Y",(Table1367410[[#This Row],[T1 Test]]+Table1367410[[#This Row],[T1 ReTest]])/2,"")</f>
        <v>8.5519059999999989</v>
      </c>
      <c r="G8" s="27">
        <f>IF(Table1367410[[#This Row],[Incl T2 TvsRT]]="Y",(Table1367410[[#This Row],[T1 ReTest]]-Table1367410[[#This Row],[T1 Test]]),"")</f>
        <v>0.74421199999999921</v>
      </c>
      <c r="H8" s="27">
        <f>IF(Table1367410[[#This Row],[Incl T2 TvsRT]]="Y",(Table1367410[[#This Row],[Diff T2 TvsRT]]^2)/2,"")</f>
        <v>0.27692575047199941</v>
      </c>
      <c r="I8" s="27">
        <f>IF(Table1367410[[#This Row],[Incl T2 TvsRT]]="Y",Table1367410[[#This Row],[V T2 TvsRT]]/(Table1367410[[#This Row],[Ave T2 TvsRT]]^2),"")</f>
        <v>3.7864960154064325E-3</v>
      </c>
      <c r="K8" s="55"/>
      <c r="L8" s="55"/>
      <c r="M8" s="56"/>
      <c r="N8" s="55"/>
      <c r="O8" s="55"/>
      <c r="P8" s="55"/>
      <c r="Q8" s="55"/>
      <c r="R8" s="46"/>
      <c r="S8" s="55"/>
      <c r="T8" s="55"/>
      <c r="U8" s="56"/>
      <c r="V8" s="55"/>
      <c r="W8" s="55"/>
      <c r="X8" s="55"/>
      <c r="Y8" s="27"/>
    </row>
    <row r="9" spans="2:26" x14ac:dyDescent="0.4">
      <c r="B9" s="13" t="s">
        <v>67</v>
      </c>
      <c r="C9" s="27">
        <v>7.3364000000000003</v>
      </c>
      <c r="D9" s="27">
        <v>6.2915000000000001</v>
      </c>
      <c r="E9" s="15" t="s">
        <v>1</v>
      </c>
      <c r="F9" s="27">
        <f>IF(Table1367410[[#This Row],[Incl T2 TvsRT]]="Y",(Table1367410[[#This Row],[T1 Test]]+Table1367410[[#This Row],[T1 ReTest]])/2,"")</f>
        <v>6.8139500000000002</v>
      </c>
      <c r="G9" s="27">
        <f>IF(Table1367410[[#This Row],[Incl T2 TvsRT]]="Y",(Table1367410[[#This Row],[T1 ReTest]]-Table1367410[[#This Row],[T1 Test]]),"")</f>
        <v>-1.0449000000000002</v>
      </c>
      <c r="H9" s="27">
        <f>IF(Table1367410[[#This Row],[Incl T2 TvsRT]]="Y",(Table1367410[[#This Row],[Diff T2 TvsRT]]^2)/2,"")</f>
        <v>0.54590800500000014</v>
      </c>
      <c r="I9" s="27">
        <f>IF(Table1367410[[#This Row],[Incl T2 TvsRT]]="Y",Table1367410[[#This Row],[V T2 TvsRT]]/(Table1367410[[#This Row],[Ave T2 TvsRT]]^2),"")</f>
        <v>1.1757678420769826E-2</v>
      </c>
      <c r="K9" s="55"/>
      <c r="L9" s="55"/>
      <c r="M9" s="56"/>
      <c r="N9" s="55"/>
      <c r="O9" s="55"/>
      <c r="P9" s="55"/>
      <c r="Q9" s="55"/>
      <c r="R9" s="46"/>
      <c r="S9" s="55"/>
      <c r="T9" s="55"/>
      <c r="U9" s="56"/>
      <c r="V9" s="55"/>
      <c r="W9" s="55"/>
      <c r="X9" s="55"/>
      <c r="Y9" s="27"/>
    </row>
    <row r="10" spans="2:26" x14ac:dyDescent="0.4">
      <c r="B10" s="13" t="s">
        <v>67</v>
      </c>
      <c r="C10" s="27">
        <v>7.6289300000000004</v>
      </c>
      <c r="D10" s="27">
        <v>7.7489679999999996</v>
      </c>
      <c r="E10" s="15" t="s">
        <v>1</v>
      </c>
      <c r="F10" s="27">
        <f>IF(Table1367410[[#This Row],[Incl T2 TvsRT]]="Y",(Table1367410[[#This Row],[T1 Test]]+Table1367410[[#This Row],[T1 ReTest]])/2,"")</f>
        <v>7.688949</v>
      </c>
      <c r="G10" s="27">
        <f>IF(Table1367410[[#This Row],[Incl T2 TvsRT]]="Y",(Table1367410[[#This Row],[T1 ReTest]]-Table1367410[[#This Row],[T1 Test]]),"")</f>
        <v>0.1200379999999992</v>
      </c>
      <c r="H10" s="27">
        <f>IF(Table1367410[[#This Row],[Incl T2 TvsRT]]="Y",(Table1367410[[#This Row],[Diff T2 TvsRT]]^2)/2,"")</f>
        <v>7.2045607219999039E-3</v>
      </c>
      <c r="I10" s="27">
        <f>IF(Table1367410[[#This Row],[Incl T2 TvsRT]]="Y",Table1367410[[#This Row],[V T2 TvsRT]]/(Table1367410[[#This Row],[Ave T2 TvsRT]]^2),"")</f>
        <v>1.218634714641354E-4</v>
      </c>
      <c r="K10" s="55"/>
      <c r="L10" s="55"/>
      <c r="M10" s="56"/>
      <c r="N10" s="55"/>
      <c r="O10" s="55"/>
      <c r="P10" s="55"/>
      <c r="Q10" s="55"/>
      <c r="R10" s="46"/>
      <c r="S10" s="55"/>
      <c r="T10" s="55"/>
      <c r="U10" s="56"/>
      <c r="V10" s="55"/>
      <c r="W10" s="55"/>
      <c r="X10" s="55"/>
      <c r="Y10" s="27"/>
    </row>
    <row r="11" spans="2:26" x14ac:dyDescent="0.4"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</row>
    <row r="12" spans="2:26" x14ac:dyDescent="0.4"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</row>
    <row r="13" spans="2:26" x14ac:dyDescent="0.4">
      <c r="C13" s="13" t="str">
        <f>C5</f>
        <v>UNET T2 Test vs ReTest</v>
      </c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</row>
    <row r="14" spans="2:26" ht="15" thickBot="1" x14ac:dyDescent="0.45"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</row>
    <row r="15" spans="2:26" x14ac:dyDescent="0.4">
      <c r="C15" s="19" t="s">
        <v>7</v>
      </c>
      <c r="D15" s="20"/>
      <c r="E15" s="21"/>
      <c r="F15" s="21" t="s">
        <v>18</v>
      </c>
      <c r="G15" s="20" t="s">
        <v>19</v>
      </c>
      <c r="H15" s="20"/>
      <c r="I15" s="22"/>
      <c r="K15" s="46"/>
      <c r="L15" s="46"/>
      <c r="M15" s="56"/>
      <c r="N15" s="56"/>
      <c r="O15" s="46"/>
      <c r="P15" s="46"/>
      <c r="Q15" s="46"/>
      <c r="R15" s="46"/>
      <c r="S15" s="46"/>
      <c r="T15" s="46"/>
      <c r="U15" s="56"/>
      <c r="V15" s="56"/>
      <c r="W15" s="46"/>
      <c r="X15" s="46"/>
      <c r="Y15" s="22"/>
    </row>
    <row r="16" spans="2:26" x14ac:dyDescent="0.4">
      <c r="C16" s="23" t="s">
        <v>8</v>
      </c>
      <c r="D16" s="13">
        <f>COUNT(F7:F10)</f>
        <v>4</v>
      </c>
      <c r="E16" s="24"/>
      <c r="F16" s="15" t="s">
        <v>20</v>
      </c>
      <c r="G16" s="15" t="s">
        <v>21</v>
      </c>
      <c r="I16" s="25"/>
      <c r="K16" s="57"/>
      <c r="L16" s="46"/>
      <c r="M16" s="58"/>
      <c r="N16" s="56"/>
      <c r="O16" s="56"/>
      <c r="P16" s="46"/>
      <c r="Q16" s="46"/>
      <c r="R16" s="46"/>
      <c r="S16" s="57"/>
      <c r="T16" s="46"/>
      <c r="U16" s="58"/>
      <c r="V16" s="56"/>
      <c r="W16" s="56"/>
      <c r="X16" s="46"/>
      <c r="Y16" s="25"/>
    </row>
    <row r="17" spans="3:25" x14ac:dyDescent="0.4">
      <c r="C17" s="23" t="s">
        <v>9</v>
      </c>
      <c r="D17" s="13">
        <f>AVERAGE(I7:I10)</f>
        <v>1.2422022497001512E-2</v>
      </c>
      <c r="E17" s="24" t="s">
        <v>15</v>
      </c>
      <c r="F17" s="27">
        <f>(D16-1)/_xlfn.CHISQ.INV(0.975,D16-1)</f>
        <v>0.32091040640961821</v>
      </c>
      <c r="G17" s="27">
        <f>(D16-1)/_xlfn.CHISQ.INV(0.025,D16-1)</f>
        <v>13.902064788082491</v>
      </c>
      <c r="I17" s="25"/>
      <c r="K17" s="57"/>
      <c r="L17" s="46"/>
      <c r="M17" s="58"/>
      <c r="N17" s="55"/>
      <c r="O17" s="55"/>
      <c r="P17" s="46"/>
      <c r="Q17" s="46"/>
      <c r="R17" s="46"/>
      <c r="S17" s="57"/>
      <c r="T17" s="46"/>
      <c r="U17" s="58"/>
      <c r="V17" s="55"/>
      <c r="W17" s="55"/>
      <c r="X17" s="46"/>
      <c r="Y17" s="25"/>
    </row>
    <row r="18" spans="3:25" x14ac:dyDescent="0.4">
      <c r="C18" s="23" t="s">
        <v>10</v>
      </c>
      <c r="D18" s="13">
        <f>100*SQRT(D17)</f>
        <v>11.145412732151964</v>
      </c>
      <c r="E18" s="24" t="s">
        <v>16</v>
      </c>
      <c r="F18" s="27">
        <f>D18*SQRT(F$17)</f>
        <v>6.3137598053316655</v>
      </c>
      <c r="G18" s="27">
        <f>D18*SQRT(G$17)</f>
        <v>41.556198280441059</v>
      </c>
      <c r="H18" s="13" t="s">
        <v>22</v>
      </c>
      <c r="I18" s="25"/>
      <c r="K18" s="57"/>
      <c r="L18" s="46"/>
      <c r="M18" s="58"/>
      <c r="N18" s="55"/>
      <c r="O18" s="55"/>
      <c r="P18" s="46"/>
      <c r="Q18" s="46"/>
      <c r="R18" s="46"/>
      <c r="S18" s="57"/>
      <c r="T18" s="46"/>
      <c r="U18" s="58"/>
      <c r="V18" s="55"/>
      <c r="W18" s="55"/>
      <c r="X18" s="46"/>
      <c r="Y18" s="25"/>
    </row>
    <row r="19" spans="3:25" x14ac:dyDescent="0.4">
      <c r="C19" s="23" t="s">
        <v>11</v>
      </c>
      <c r="D19" s="13">
        <f>AVERAGE(H7:H10)</f>
        <v>0.57226750389299985</v>
      </c>
      <c r="E19" s="24" t="s">
        <v>44</v>
      </c>
      <c r="F19" s="27"/>
      <c r="G19" s="27"/>
      <c r="I19" s="25"/>
      <c r="K19" s="57"/>
      <c r="L19" s="46"/>
      <c r="M19" s="58"/>
      <c r="N19" s="55"/>
      <c r="O19" s="55"/>
      <c r="P19" s="46"/>
      <c r="Q19" s="46"/>
      <c r="R19" s="46"/>
      <c r="S19" s="57"/>
      <c r="T19" s="46"/>
      <c r="U19" s="58"/>
      <c r="V19" s="55"/>
      <c r="W19" s="55"/>
      <c r="X19" s="46"/>
      <c r="Y19" s="25"/>
    </row>
    <row r="20" spans="3:25" x14ac:dyDescent="0.4">
      <c r="C20" s="23" t="s">
        <v>17</v>
      </c>
      <c r="D20" s="13">
        <f>SQRT(D19)</f>
        <v>0.7564836441675391</v>
      </c>
      <c r="E20" s="24" t="s">
        <v>44</v>
      </c>
      <c r="F20" s="27">
        <f>D20*SQRT(F$17)</f>
        <v>0.42854007659648397</v>
      </c>
      <c r="G20" s="27">
        <f>D20*SQRT(G$17)</f>
        <v>2.8205850306691223</v>
      </c>
      <c r="H20" s="13" t="s">
        <v>45</v>
      </c>
      <c r="I20" s="25"/>
      <c r="K20" s="57"/>
      <c r="L20" s="46"/>
      <c r="M20" s="58"/>
      <c r="N20" s="55"/>
      <c r="O20" s="55"/>
      <c r="P20" s="46"/>
      <c r="Q20" s="46"/>
      <c r="R20" s="46"/>
      <c r="S20" s="57"/>
      <c r="T20" s="46"/>
      <c r="U20" s="58"/>
      <c r="V20" s="55"/>
      <c r="W20" s="55"/>
      <c r="X20" s="46"/>
      <c r="Y20" s="25"/>
    </row>
    <row r="21" spans="3:25" x14ac:dyDescent="0.4">
      <c r="C21" s="23" t="s">
        <v>12</v>
      </c>
      <c r="D21" s="13">
        <f>1.96 * SQRT(2*D19)</f>
        <v>2.0968656814185063</v>
      </c>
      <c r="E21" s="24" t="s">
        <v>44</v>
      </c>
      <c r="F21" s="27">
        <f>D21*SQRT(F$17)</f>
        <v>1.187852489152579</v>
      </c>
      <c r="G21" s="27">
        <f>D21*SQRT(G$17)</f>
        <v>7.8182628242296577</v>
      </c>
      <c r="H21" s="13" t="s">
        <v>46</v>
      </c>
      <c r="I21" s="25"/>
      <c r="K21" s="57"/>
      <c r="L21" s="46"/>
      <c r="M21" s="58"/>
      <c r="N21" s="55"/>
      <c r="O21" s="55"/>
      <c r="P21" s="46"/>
      <c r="Q21" s="46"/>
      <c r="R21" s="46"/>
      <c r="S21" s="57"/>
      <c r="T21" s="46"/>
      <c r="U21" s="58"/>
      <c r="V21" s="55"/>
      <c r="W21" s="55"/>
      <c r="X21" s="46"/>
      <c r="Y21" s="25"/>
    </row>
    <row r="22" spans="3:25" x14ac:dyDescent="0.4">
      <c r="C22" s="23" t="s">
        <v>13</v>
      </c>
      <c r="D22" s="13">
        <f>AVERAGE(F7:F10)</f>
        <v>7.4008649999999996</v>
      </c>
      <c r="E22" s="24" t="s">
        <v>44</v>
      </c>
      <c r="I22" s="25"/>
      <c r="K22" s="57"/>
      <c r="L22" s="46"/>
      <c r="M22" s="58"/>
      <c r="N22" s="46"/>
      <c r="O22" s="46"/>
      <c r="P22" s="46"/>
      <c r="Q22" s="46"/>
      <c r="R22" s="46"/>
      <c r="S22" s="57"/>
      <c r="T22" s="46"/>
      <c r="U22" s="58"/>
      <c r="V22" s="46"/>
      <c r="W22" s="46"/>
      <c r="X22" s="46"/>
      <c r="Y22" s="25"/>
    </row>
    <row r="23" spans="3:25" x14ac:dyDescent="0.4">
      <c r="C23" s="23" t="s">
        <v>14</v>
      </c>
      <c r="D23" s="13">
        <f>AVERAGE(G7:G10)</f>
        <v>-0.47222100000000045</v>
      </c>
      <c r="E23" s="24" t="s">
        <v>44</v>
      </c>
      <c r="I23" s="25"/>
      <c r="K23" s="57"/>
      <c r="L23" s="46"/>
      <c r="M23" s="58"/>
      <c r="N23" s="46"/>
      <c r="O23" s="46"/>
      <c r="P23" s="46"/>
      <c r="Q23" s="46"/>
      <c r="R23" s="46"/>
      <c r="S23" s="57"/>
      <c r="T23" s="46"/>
      <c r="U23" s="58"/>
      <c r="V23" s="46"/>
      <c r="W23" s="46"/>
      <c r="X23" s="46"/>
      <c r="Y23" s="25"/>
    </row>
    <row r="24" spans="3:25" ht="15" thickBot="1" x14ac:dyDescent="0.45">
      <c r="C24" s="28" t="s">
        <v>23</v>
      </c>
      <c r="D24" s="29" t="s">
        <v>23</v>
      </c>
      <c r="E24" s="30"/>
      <c r="F24" s="31"/>
      <c r="G24" s="31"/>
      <c r="H24" s="31"/>
      <c r="I24" s="32"/>
      <c r="K24" s="57"/>
      <c r="L24" s="57"/>
      <c r="M24" s="56"/>
      <c r="N24" s="46"/>
      <c r="O24" s="46"/>
      <c r="P24" s="46"/>
      <c r="Q24" s="46"/>
      <c r="R24" s="46"/>
      <c r="S24" s="57"/>
      <c r="T24" s="57"/>
      <c r="U24" s="56"/>
      <c r="V24" s="46"/>
      <c r="W24" s="46"/>
      <c r="X24" s="46"/>
      <c r="Y24" s="32"/>
    </row>
    <row r="25" spans="3:25" x14ac:dyDescent="0.4"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</row>
    <row r="26" spans="3:25" x14ac:dyDescent="0.4"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</row>
    <row r="27" spans="3:25" x14ac:dyDescent="0.4"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</row>
    <row r="28" spans="3:25" x14ac:dyDescent="0.4"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23424-04CF-4E71-A7CE-D88C931CB6C2}">
  <dimension ref="B3:Z35"/>
  <sheetViews>
    <sheetView workbookViewId="0">
      <selection activeCell="L25" sqref="K25:L25"/>
    </sheetView>
  </sheetViews>
  <sheetFormatPr defaultRowHeight="14.6" x14ac:dyDescent="0.4"/>
  <cols>
    <col min="1" max="1" width="9.23046875" style="13"/>
    <col min="2" max="2" width="14.3828125" style="13" customWidth="1"/>
    <col min="3" max="3" width="13.53515625" style="13" customWidth="1"/>
    <col min="4" max="4" width="11.84375" style="13" bestFit="1" customWidth="1"/>
    <col min="5" max="5" width="9.23046875" style="13"/>
    <col min="6" max="6" width="10.69140625" style="13" bestFit="1" customWidth="1"/>
    <col min="7" max="7" width="11.53515625" style="13" bestFit="1" customWidth="1"/>
    <col min="8" max="9" width="10.53515625" style="13" bestFit="1" customWidth="1"/>
    <col min="10" max="10" width="9.23046875" style="13"/>
    <col min="11" max="11" width="12.53515625" style="13" customWidth="1"/>
    <col min="12" max="12" width="10.53515625" style="13" bestFit="1" customWidth="1"/>
    <col min="13" max="13" width="9.23046875" style="13"/>
    <col min="14" max="14" width="10.53515625" style="13" bestFit="1" customWidth="1"/>
    <col min="15" max="15" width="11.3046875" style="13" bestFit="1" customWidth="1"/>
    <col min="16" max="17" width="10.53515625" style="13" bestFit="1" customWidth="1"/>
    <col min="18" max="18" width="9.23046875" style="13"/>
    <col min="19" max="20" width="11.53515625" style="13" bestFit="1" customWidth="1"/>
    <col min="21" max="21" width="9.23046875" style="13"/>
    <col min="22" max="22" width="11.69140625" style="13" bestFit="1" customWidth="1"/>
    <col min="23" max="23" width="11.53515625" style="13" bestFit="1" customWidth="1"/>
    <col min="24" max="25" width="10.53515625" style="13" bestFit="1" customWidth="1"/>
    <col min="26" max="16384" width="9.23046875" style="13"/>
  </cols>
  <sheetData>
    <row r="3" spans="2:26" x14ac:dyDescent="0.4">
      <c r="C3" s="13" t="s">
        <v>34</v>
      </c>
    </row>
    <row r="4" spans="2:26" x14ac:dyDescent="0.4">
      <c r="B4" s="13" t="s">
        <v>129</v>
      </c>
      <c r="C4" s="13" t="s">
        <v>83</v>
      </c>
      <c r="D4" s="13" t="s">
        <v>84</v>
      </c>
      <c r="E4" s="13" t="s">
        <v>90</v>
      </c>
      <c r="F4" s="13" t="s">
        <v>85</v>
      </c>
      <c r="G4" s="13" t="s">
        <v>86</v>
      </c>
      <c r="H4" s="13" t="s">
        <v>115</v>
      </c>
      <c r="I4" s="13" t="s">
        <v>98</v>
      </c>
      <c r="J4" s="13" t="s">
        <v>41</v>
      </c>
      <c r="K4" s="13" t="s">
        <v>75</v>
      </c>
      <c r="L4" s="13" t="s">
        <v>76</v>
      </c>
      <c r="M4" s="13" t="s">
        <v>77</v>
      </c>
      <c r="N4" s="13" t="s">
        <v>78</v>
      </c>
      <c r="O4" s="13" t="s">
        <v>79</v>
      </c>
      <c r="P4" s="13" t="s">
        <v>80</v>
      </c>
      <c r="Q4" s="13" t="s">
        <v>93</v>
      </c>
      <c r="R4" s="13" t="s">
        <v>107</v>
      </c>
      <c r="S4" s="13" t="s">
        <v>108</v>
      </c>
      <c r="T4" s="13" t="s">
        <v>109</v>
      </c>
      <c r="U4" s="13" t="s">
        <v>110</v>
      </c>
      <c r="V4" s="13" t="s">
        <v>111</v>
      </c>
      <c r="W4" s="13" t="s">
        <v>112</v>
      </c>
      <c r="X4" s="13" t="s">
        <v>113</v>
      </c>
      <c r="Y4" s="13" t="s">
        <v>42</v>
      </c>
      <c r="Z4" s="13" t="s">
        <v>43</v>
      </c>
    </row>
    <row r="5" spans="2:26" x14ac:dyDescent="0.4">
      <c r="B5" s="13" t="s">
        <v>28</v>
      </c>
      <c r="C5" s="27">
        <v>7.8487844000000004</v>
      </c>
      <c r="D5" s="27">
        <v>7.4488906000000004</v>
      </c>
      <c r="E5" s="15" t="s">
        <v>1</v>
      </c>
      <c r="F5" s="27">
        <f>IF(Table159[[#This Row],[Inclusion Flag]]="Y",(Table159[[#This Row],[Test_Volume]]+Table159[[#This Row],[ReTest_Volume]])/2,"")</f>
        <v>7.6488375000000008</v>
      </c>
      <c r="G5" s="27">
        <f>IF(Table159[[#This Row],[Inclusion Flag]]="Y",(Table159[[#This Row],[ReTest_Volume]]-Table159[[#This Row],[Test_Volume]]),"")</f>
        <v>-0.39989380000000008</v>
      </c>
      <c r="H5" s="27">
        <f>IF(Table159[[#This Row],[Inclusion Flag]]="Y",(Table159[[#This Row],[Difference_Volume]]^2)/2,"")</f>
        <v>7.9957525639220026E-2</v>
      </c>
      <c r="I5" s="27">
        <f>IF(Table159[[#This Row],[Inclusion Flag]]="Y",Table159[[#This Row],[Pair_Variance V is sq(Diff)/22]]/(Table159[[#This Row],[Average_Volume]]^2),"")</f>
        <v>1.3666851552157735E-3</v>
      </c>
      <c r="K5" s="27"/>
      <c r="L5" s="27"/>
      <c r="M5" s="15"/>
      <c r="N5" s="27"/>
      <c r="O5" s="27"/>
      <c r="P5" s="27"/>
      <c r="Q5" s="27"/>
      <c r="S5" s="27"/>
      <c r="T5" s="27"/>
      <c r="U5" s="15"/>
      <c r="V5" s="27"/>
      <c r="W5" s="27"/>
      <c r="X5" s="27"/>
      <c r="Y5" s="27"/>
    </row>
    <row r="6" spans="2:26" x14ac:dyDescent="0.4">
      <c r="B6" s="13" t="s">
        <v>28</v>
      </c>
      <c r="C6" s="27">
        <v>8.1501260000000002</v>
      </c>
      <c r="D6" s="27">
        <v>7.3648686000000003</v>
      </c>
      <c r="E6" s="15" t="s">
        <v>1</v>
      </c>
      <c r="F6" s="27">
        <f>IF(Table159[[#This Row],[Inclusion Flag]]="Y",(Table159[[#This Row],[Test_Volume]]+Table159[[#This Row],[ReTest_Volume]])/2,"")</f>
        <v>7.7574973000000007</v>
      </c>
      <c r="G6" s="27">
        <f>IF(Table159[[#This Row],[Inclusion Flag]]="Y",(Table159[[#This Row],[ReTest_Volume]]-Table159[[#This Row],[Test_Volume]]),"")</f>
        <v>-0.78525739999999988</v>
      </c>
      <c r="H6" s="27">
        <f>IF(Table159[[#This Row],[Inclusion Flag]]="Y",(Table159[[#This Row],[Difference_Volume]]^2)/2,"")</f>
        <v>0.30831459212737988</v>
      </c>
      <c r="I6" s="27">
        <f>IF(Table159[[#This Row],[Inclusion Flag]]="Y",Table159[[#This Row],[Pair_Variance V is sq(Diff)/22]]/(Table159[[#This Row],[Average_Volume]]^2),"")</f>
        <v>5.1233121086619827E-3</v>
      </c>
      <c r="K6" s="27"/>
      <c r="L6" s="27"/>
      <c r="M6" s="15"/>
      <c r="N6" s="27"/>
      <c r="O6" s="27"/>
      <c r="P6" s="27"/>
      <c r="Q6" s="27"/>
      <c r="S6" s="27"/>
      <c r="T6" s="27"/>
      <c r="U6" s="15"/>
      <c r="V6" s="27"/>
      <c r="W6" s="27"/>
      <c r="X6" s="27"/>
      <c r="Y6" s="27"/>
    </row>
    <row r="7" spans="2:26" x14ac:dyDescent="0.4">
      <c r="B7" s="13" t="s">
        <v>28</v>
      </c>
      <c r="C7" s="27">
        <v>9.3245372</v>
      </c>
      <c r="D7" s="27">
        <v>9.3826579999999993</v>
      </c>
      <c r="E7" s="15" t="s">
        <v>1</v>
      </c>
      <c r="F7" s="27">
        <f>IF(Table159[[#This Row],[Inclusion Flag]]="Y",(Table159[[#This Row],[Test_Volume]]+Table159[[#This Row],[ReTest_Volume]])/2,"")</f>
        <v>9.3535976000000005</v>
      </c>
      <c r="G7" s="27">
        <f>IF(Table159[[#This Row],[Inclusion Flag]]="Y",(Table159[[#This Row],[ReTest_Volume]]-Table159[[#This Row],[Test_Volume]]),"")</f>
        <v>5.8120799999999306E-2</v>
      </c>
      <c r="H7" s="27">
        <f>IF(Table159[[#This Row],[Inclusion Flag]]="Y",(Table159[[#This Row],[Difference_Volume]]^2)/2,"")</f>
        <v>1.6890136963199597E-3</v>
      </c>
      <c r="I7" s="27">
        <f>IF(Table159[[#This Row],[Inclusion Flag]]="Y",Table159[[#This Row],[Pair_Variance V is sq(Diff)/22]]/(Table159[[#This Row],[Average_Volume]]^2),"")</f>
        <v>1.9305266748492089E-5</v>
      </c>
      <c r="K7" s="27"/>
      <c r="L7" s="27"/>
      <c r="M7" s="15"/>
      <c r="N7" s="27"/>
      <c r="O7" s="27"/>
      <c r="P7" s="27"/>
      <c r="Q7" s="27"/>
      <c r="S7" s="27"/>
      <c r="T7" s="27"/>
      <c r="U7" s="15"/>
      <c r="V7" s="27"/>
      <c r="W7" s="27"/>
      <c r="X7" s="27"/>
      <c r="Y7" s="27"/>
    </row>
    <row r="8" spans="2:26" x14ac:dyDescent="0.4">
      <c r="B8" s="13" t="s">
        <v>28</v>
      </c>
      <c r="C8" s="27">
        <v>9.1211099999999998</v>
      </c>
      <c r="D8" s="27">
        <v>8.0319900000000004</v>
      </c>
      <c r="E8" s="15" t="s">
        <v>1</v>
      </c>
      <c r="F8" s="27">
        <f>IF(Table159[[#This Row],[Inclusion Flag]]="Y",(Table159[[#This Row],[Test_Volume]]+Table159[[#This Row],[ReTest_Volume]])/2,"")</f>
        <v>8.576550000000001</v>
      </c>
      <c r="G8" s="27">
        <f>IF(Table159[[#This Row],[Inclusion Flag]]="Y",(Table159[[#This Row],[ReTest_Volume]]-Table159[[#This Row],[Test_Volume]]),"")</f>
        <v>-1.0891199999999994</v>
      </c>
      <c r="H8" s="27">
        <f>IF(Table159[[#This Row],[Inclusion Flag]]="Y",(Table159[[#This Row],[Difference_Volume]]^2)/2,"")</f>
        <v>0.59309118719999943</v>
      </c>
      <c r="I8" s="27">
        <f>IF(Table159[[#This Row],[Inclusion Flag]]="Y",Table159[[#This Row],[Pair_Variance V is sq(Diff)/22]]/(Table159[[#This Row],[Average_Volume]]^2),"")</f>
        <v>8.0629918941479833E-3</v>
      </c>
      <c r="K8" s="27"/>
      <c r="L8" s="27"/>
      <c r="M8" s="15"/>
      <c r="N8" s="27"/>
      <c r="O8" s="27"/>
      <c r="P8" s="27"/>
      <c r="Q8" s="27"/>
      <c r="S8" s="27"/>
      <c r="T8" s="27"/>
      <c r="U8" s="15"/>
      <c r="V8" s="27"/>
      <c r="W8" s="27"/>
      <c r="X8" s="27"/>
      <c r="Y8" s="27"/>
    </row>
    <row r="9" spans="2:26" x14ac:dyDescent="0.4">
      <c r="B9" s="13" t="s">
        <v>28</v>
      </c>
      <c r="C9" s="27">
        <v>9.9063739000000002</v>
      </c>
      <c r="D9" s="27">
        <v>10.074418</v>
      </c>
      <c r="E9" s="15" t="s">
        <v>1</v>
      </c>
      <c r="F9" s="27">
        <f>IF(Table159[[#This Row],[Inclusion Flag]]="Y",(Table159[[#This Row],[Test_Volume]]+Table159[[#This Row],[ReTest_Volume]])/2,"")</f>
        <v>9.9903959499999999</v>
      </c>
      <c r="G9" s="27">
        <f>IF(Table159[[#This Row],[Inclusion Flag]]="Y",(Table159[[#This Row],[ReTest_Volume]]-Table159[[#This Row],[Test_Volume]]),"")</f>
        <v>0.16804409999999947</v>
      </c>
      <c r="H9" s="27">
        <f>IF(Table159[[#This Row],[Inclusion Flag]]="Y",(Table159[[#This Row],[Difference_Volume]]^2)/2,"")</f>
        <v>1.4119409772404912E-2</v>
      </c>
      <c r="I9" s="27">
        <f>IF(Table159[[#This Row],[Inclusion Flag]]="Y",Table159[[#This Row],[Pair_Variance V is sq(Diff)/22]]/(Table159[[#This Row],[Average_Volume]]^2),"")</f>
        <v>1.4146569596269892E-4</v>
      </c>
      <c r="K9" s="27"/>
      <c r="L9" s="27"/>
      <c r="M9" s="15"/>
      <c r="N9" s="27"/>
      <c r="O9" s="27"/>
      <c r="P9" s="27"/>
      <c r="Q9" s="27"/>
      <c r="S9" s="27"/>
      <c r="T9" s="27"/>
      <c r="U9" s="15"/>
      <c r="V9" s="27"/>
      <c r="W9" s="27"/>
      <c r="X9" s="27"/>
      <c r="Y9" s="27"/>
    </row>
    <row r="10" spans="2:26" x14ac:dyDescent="0.4">
      <c r="B10" s="13" t="s">
        <v>29</v>
      </c>
      <c r="C10" s="27">
        <v>7.6440989999999998</v>
      </c>
      <c r="D10" s="27">
        <v>7.9416510000000002</v>
      </c>
      <c r="E10" s="15" t="s">
        <v>1</v>
      </c>
      <c r="F10" s="27">
        <f>IF(Table159[[#This Row],[Inclusion Flag]]="Y",(Table159[[#This Row],[Test_Volume]]+Table159[[#This Row],[ReTest_Volume]])/2,"")</f>
        <v>7.7928750000000004</v>
      </c>
      <c r="G10" s="27">
        <f>IF(Table159[[#This Row],[Inclusion Flag]]="Y",(Table159[[#This Row],[ReTest_Volume]]-Table159[[#This Row],[Test_Volume]]),"")</f>
        <v>0.29755200000000048</v>
      </c>
      <c r="H10" s="27">
        <f>IF(Table159[[#This Row],[Inclusion Flag]]="Y",(Table159[[#This Row],[Difference_Volume]]^2)/2,"")</f>
        <v>4.4268596352000145E-2</v>
      </c>
      <c r="I10" s="27">
        <f>IF(Table159[[#This Row],[Inclusion Flag]]="Y",Table159[[#This Row],[Pair_Variance V is sq(Diff)/22]]/(Table159[[#This Row],[Average_Volume]]^2),"")</f>
        <v>7.2895434947602318E-4</v>
      </c>
      <c r="K10" s="27"/>
      <c r="L10" s="27"/>
      <c r="M10" s="15"/>
      <c r="N10" s="27"/>
      <c r="O10" s="27"/>
      <c r="P10" s="27"/>
      <c r="Q10" s="27"/>
      <c r="S10" s="27"/>
      <c r="T10" s="27"/>
      <c r="U10" s="15"/>
      <c r="V10" s="27"/>
      <c r="W10" s="27"/>
      <c r="X10" s="27"/>
      <c r="Y10" s="27"/>
    </row>
    <row r="11" spans="2:26" x14ac:dyDescent="0.4">
      <c r="B11" s="13" t="s">
        <v>29</v>
      </c>
      <c r="C11" s="27">
        <v>7.8412036000000001</v>
      </c>
      <c r="D11" s="27">
        <v>8.2758400000000005</v>
      </c>
      <c r="E11" s="15" t="s">
        <v>1</v>
      </c>
      <c r="F11" s="27">
        <f>IF(Table159[[#This Row],[Inclusion Flag]]="Y",(Table159[[#This Row],[Test_Volume]]+Table159[[#This Row],[ReTest_Volume]])/2,"")</f>
        <v>8.0585218000000012</v>
      </c>
      <c r="G11" s="27">
        <f>IF(Table159[[#This Row],[Inclusion Flag]]="Y",(Table159[[#This Row],[ReTest_Volume]]-Table159[[#This Row],[Test_Volume]]),"")</f>
        <v>0.43463640000000048</v>
      </c>
      <c r="H11" s="27">
        <f>IF(Table159[[#This Row],[Inclusion Flag]]="Y",(Table159[[#This Row],[Difference_Volume]]^2)/2,"")</f>
        <v>9.4454400102480213E-2</v>
      </c>
      <c r="I11" s="27">
        <f>IF(Table159[[#This Row],[Inclusion Flag]]="Y",Table159[[#This Row],[Pair_Variance V is sq(Diff)/22]]/(Table159[[#This Row],[Average_Volume]]^2),"")</f>
        <v>1.4544922913146136E-3</v>
      </c>
      <c r="K11" s="27"/>
      <c r="L11" s="27"/>
      <c r="M11" s="15"/>
      <c r="N11" s="27"/>
      <c r="O11" s="27"/>
      <c r="P11" s="27"/>
      <c r="Q11" s="27"/>
      <c r="S11" s="27"/>
      <c r="T11" s="27"/>
      <c r="U11" s="15"/>
      <c r="V11" s="27"/>
      <c r="W11" s="27"/>
      <c r="X11" s="27"/>
      <c r="Y11" s="27"/>
    </row>
    <row r="12" spans="2:26" x14ac:dyDescent="0.4">
      <c r="B12" s="13" t="s">
        <v>29</v>
      </c>
      <c r="C12" s="27">
        <v>8.5095880000000008</v>
      </c>
      <c r="D12" s="27">
        <v>8.31311</v>
      </c>
      <c r="E12" s="15" t="s">
        <v>1</v>
      </c>
      <c r="F12" s="27">
        <f>IF(Table159[[#This Row],[Inclusion Flag]]="Y",(Table159[[#This Row],[Test_Volume]]+Table159[[#This Row],[ReTest_Volume]])/2,"")</f>
        <v>8.4113490000000013</v>
      </c>
      <c r="G12" s="27">
        <f>IF(Table159[[#This Row],[Inclusion Flag]]="Y",(Table159[[#This Row],[ReTest_Volume]]-Table159[[#This Row],[Test_Volume]]),"")</f>
        <v>-0.19647800000000082</v>
      </c>
      <c r="H12" s="27">
        <f>IF(Table159[[#This Row],[Inclusion Flag]]="Y",(Table159[[#This Row],[Difference_Volume]]^2)/2,"")</f>
        <v>1.9301802242000159E-2</v>
      </c>
      <c r="I12" s="27">
        <f>IF(Table159[[#This Row],[Inclusion Flag]]="Y",Table159[[#This Row],[Pair_Variance V is sq(Diff)/22]]/(Table159[[#This Row],[Average_Volume]]^2),"")</f>
        <v>2.7281393884685335E-4</v>
      </c>
      <c r="K12" s="27"/>
      <c r="L12" s="27"/>
      <c r="M12" s="15"/>
      <c r="N12" s="27"/>
      <c r="O12" s="27"/>
      <c r="P12" s="27"/>
      <c r="Q12" s="27"/>
      <c r="S12" s="27"/>
      <c r="T12" s="27"/>
      <c r="U12" s="15"/>
      <c r="V12" s="27"/>
      <c r="W12" s="27"/>
      <c r="X12" s="27"/>
      <c r="Y12" s="27"/>
    </row>
    <row r="13" spans="2:26" x14ac:dyDescent="0.4">
      <c r="B13" s="13" t="s">
        <v>29</v>
      </c>
      <c r="C13" s="27">
        <v>7.9384918000000004</v>
      </c>
      <c r="D13" s="27">
        <v>8.4337797000000005</v>
      </c>
      <c r="E13" s="15" t="s">
        <v>1</v>
      </c>
      <c r="F13" s="27">
        <f>IF(Table159[[#This Row],[Inclusion Flag]]="Y",(Table159[[#This Row],[Test_Volume]]+Table159[[#This Row],[ReTest_Volume]])/2,"")</f>
        <v>8.18613575</v>
      </c>
      <c r="G13" s="27">
        <f>IF(Table159[[#This Row],[Inclusion Flag]]="Y",(Table159[[#This Row],[ReTest_Volume]]-Table159[[#This Row],[Test_Volume]]),"")</f>
        <v>0.49528790000000011</v>
      </c>
      <c r="H13" s="27">
        <f>IF(Table159[[#This Row],[Inclusion Flag]]="Y",(Table159[[#This Row],[Difference_Volume]]^2)/2,"")</f>
        <v>0.12265505194320506</v>
      </c>
      <c r="I13" s="27">
        <f>IF(Table159[[#This Row],[Inclusion Flag]]="Y",Table159[[#This Row],[Pair_Variance V is sq(Diff)/22]]/(Table159[[#This Row],[Average_Volume]]^2),"")</f>
        <v>1.8303222376970473E-3</v>
      </c>
      <c r="K13" s="27"/>
      <c r="L13" s="27"/>
      <c r="M13" s="15"/>
      <c r="N13" s="27"/>
      <c r="O13" s="27"/>
      <c r="P13" s="27"/>
      <c r="Q13" s="27"/>
      <c r="S13" s="27"/>
      <c r="T13" s="27"/>
      <c r="U13" s="15"/>
      <c r="V13" s="27"/>
      <c r="W13" s="27"/>
      <c r="X13" s="27"/>
      <c r="Y13" s="27"/>
    </row>
    <row r="14" spans="2:26" x14ac:dyDescent="0.4">
      <c r="B14" s="13" t="s">
        <v>30</v>
      </c>
      <c r="C14" s="27">
        <v>8.4994802000000007</v>
      </c>
      <c r="D14" s="27">
        <v>8.9366470000000007</v>
      </c>
      <c r="E14" s="15" t="s">
        <v>1</v>
      </c>
      <c r="F14" s="27">
        <f>IF(Table159[[#This Row],[Inclusion Flag]]="Y",(Table159[[#This Row],[Test_Volume]]+Table159[[#This Row],[ReTest_Volume]])/2,"")</f>
        <v>8.7180636000000007</v>
      </c>
      <c r="G14" s="27">
        <f>IF(Table159[[#This Row],[Inclusion Flag]]="Y",(Table159[[#This Row],[ReTest_Volume]]-Table159[[#This Row],[Test_Volume]]),"")</f>
        <v>0.43716679999999997</v>
      </c>
      <c r="H14" s="27">
        <f>IF(Table159[[#This Row],[Inclusion Flag]]="Y",(Table159[[#This Row],[Difference_Volume]]^2)/2,"")</f>
        <v>9.5557405511119992E-2</v>
      </c>
      <c r="I14" s="27">
        <f>IF(Table159[[#This Row],[Inclusion Flag]]="Y",Table159[[#This Row],[Pair_Variance V is sq(Diff)/22]]/(Table159[[#This Row],[Average_Volume]]^2),"")</f>
        <v>1.2572576410512417E-3</v>
      </c>
      <c r="K14" s="27"/>
      <c r="L14" s="27"/>
      <c r="M14" s="15"/>
      <c r="N14" s="27"/>
      <c r="O14" s="27"/>
      <c r="P14" s="27"/>
      <c r="Q14" s="27"/>
      <c r="S14" s="27"/>
      <c r="T14" s="27"/>
      <c r="U14" s="15"/>
      <c r="V14" s="27"/>
      <c r="W14" s="27"/>
      <c r="X14" s="27"/>
      <c r="Y14" s="27"/>
    </row>
    <row r="15" spans="2:26" ht="15.9" x14ac:dyDescent="0.45">
      <c r="B15" s="13" t="s">
        <v>31</v>
      </c>
      <c r="C15" s="27">
        <v>7.6213559999999996</v>
      </c>
      <c r="D15" s="43">
        <v>6.8841099999999997</v>
      </c>
      <c r="E15" s="15" t="s">
        <v>1</v>
      </c>
      <c r="F15" s="27">
        <f>IF(Table159[[#This Row],[Inclusion Flag]]="Y",(Table159[[#This Row],[Test_Volume]]+Table159[[#This Row],[ReTest_Volume]])/2,"")</f>
        <v>7.2527329999999992</v>
      </c>
      <c r="G15" s="27">
        <f>IF(Table159[[#This Row],[Inclusion Flag]]="Y",(Table159[[#This Row],[ReTest_Volume]]-Table159[[#This Row],[Test_Volume]]),"")</f>
        <v>-0.73724599999999985</v>
      </c>
      <c r="H15" s="27">
        <f>IF(Table159[[#This Row],[Inclusion Flag]]="Y",(Table159[[#This Row],[Difference_Volume]]^2)/2,"")</f>
        <v>0.27176583225799988</v>
      </c>
      <c r="I15" s="27">
        <f>IF(Table159[[#This Row],[Inclusion Flag]]="Y",Table159[[#This Row],[Pair_Variance V is sq(Diff)/22]]/(Table159[[#This Row],[Average_Volume]]^2),"")</f>
        <v>5.1664410056782963E-3</v>
      </c>
      <c r="K15" s="27"/>
      <c r="L15" s="27"/>
      <c r="M15" s="15"/>
      <c r="N15" s="27"/>
      <c r="O15" s="27"/>
      <c r="P15" s="27"/>
      <c r="Q15" s="27"/>
      <c r="S15" s="27"/>
      <c r="T15" s="27"/>
      <c r="U15" s="15"/>
      <c r="V15" s="27"/>
      <c r="W15" s="27"/>
      <c r="X15" s="27"/>
      <c r="Y15" s="27"/>
    </row>
    <row r="16" spans="2:26" x14ac:dyDescent="0.4">
      <c r="B16" s="13" t="s">
        <v>32</v>
      </c>
      <c r="C16" s="27">
        <v>5.3685499999999999</v>
      </c>
      <c r="D16" s="27">
        <v>6.3161740000000002</v>
      </c>
      <c r="E16" s="15" t="s">
        <v>1</v>
      </c>
      <c r="F16" s="27">
        <f>IF(Table159[[#This Row],[Inclusion Flag]]="Y",(Table159[[#This Row],[Test_Volume]]+Table159[[#This Row],[ReTest_Volume]])/2,"")</f>
        <v>5.8423619999999996</v>
      </c>
      <c r="G16" s="27">
        <f>IF(Table159[[#This Row],[Inclusion Flag]]="Y",(Table159[[#This Row],[ReTest_Volume]]-Table159[[#This Row],[Test_Volume]]),"")</f>
        <v>0.94762400000000024</v>
      </c>
      <c r="H16" s="27">
        <f>IF(Table159[[#This Row],[Inclusion Flag]]="Y",(Table159[[#This Row],[Difference_Volume]]^2)/2,"")</f>
        <v>0.44899562268800025</v>
      </c>
      <c r="I16" s="27">
        <f>IF(Table159[[#This Row],[Inclusion Flag]]="Y",Table159[[#This Row],[Pair_Variance V is sq(Diff)/22]]/(Table159[[#This Row],[Average_Volume]]^2),"")</f>
        <v>1.3154222429951137E-2</v>
      </c>
      <c r="K16" s="27"/>
      <c r="L16" s="27"/>
      <c r="M16" s="15"/>
      <c r="N16" s="27"/>
      <c r="O16" s="27"/>
      <c r="P16" s="27"/>
      <c r="Q16" s="27"/>
      <c r="S16" s="27"/>
      <c r="T16" s="27"/>
      <c r="U16" s="15"/>
      <c r="V16" s="27"/>
      <c r="W16" s="27"/>
      <c r="X16" s="27"/>
      <c r="Y16" s="27"/>
    </row>
    <row r="17" spans="2:25" x14ac:dyDescent="0.4">
      <c r="B17" s="13" t="s">
        <v>33</v>
      </c>
      <c r="C17" s="27">
        <v>5.4683737700000004</v>
      </c>
      <c r="D17" s="27">
        <v>4.3653490000000001</v>
      </c>
      <c r="E17" s="15" t="s">
        <v>1</v>
      </c>
      <c r="F17" s="27">
        <f>IF(Table159[[#This Row],[Inclusion Flag]]="Y",(Table159[[#This Row],[Test_Volume]]+Table159[[#This Row],[ReTest_Volume]])/2,"")</f>
        <v>4.9168613850000007</v>
      </c>
      <c r="G17" s="27">
        <f>IF(Table159[[#This Row],[Inclusion Flag]]="Y",(Table159[[#This Row],[ReTest_Volume]]-Table159[[#This Row],[Test_Volume]]),"")</f>
        <v>-1.1030247700000002</v>
      </c>
      <c r="H17" s="27">
        <f>IF(Table159[[#This Row],[Inclusion Flag]]="Y",(Table159[[#This Row],[Difference_Volume]]^2)/2,"")</f>
        <v>0.60833182161677668</v>
      </c>
      <c r="I17" s="27">
        <f>IF(Table159[[#This Row],[Inclusion Flag]]="Y",Table159[[#This Row],[Pair_Variance V is sq(Diff)/22]]/(Table159[[#This Row],[Average_Volume]]^2),"")</f>
        <v>2.5163126736264696E-2</v>
      </c>
      <c r="K17" s="27"/>
      <c r="L17" s="27"/>
      <c r="M17" s="15"/>
      <c r="N17" s="27"/>
      <c r="O17" s="27"/>
      <c r="P17" s="27"/>
      <c r="Q17" s="27"/>
      <c r="S17" s="27"/>
      <c r="T17" s="27"/>
      <c r="U17" s="15"/>
      <c r="V17" s="27"/>
      <c r="W17" s="27"/>
      <c r="X17" s="27"/>
      <c r="Y17" s="27"/>
    </row>
    <row r="19" spans="2:25" x14ac:dyDescent="0.4">
      <c r="E19" s="15"/>
      <c r="M19" s="15"/>
      <c r="U19" s="15"/>
    </row>
    <row r="22" spans="2:25" x14ac:dyDescent="0.4">
      <c r="C22" s="13" t="s">
        <v>116</v>
      </c>
    </row>
    <row r="23" spans="2:25" ht="15" thickBot="1" x14ac:dyDescent="0.45"/>
    <row r="24" spans="2:25" x14ac:dyDescent="0.4">
      <c r="C24" s="19" t="s">
        <v>7</v>
      </c>
      <c r="D24" s="20"/>
      <c r="E24" s="21"/>
      <c r="F24" s="21" t="s">
        <v>18</v>
      </c>
      <c r="G24" s="20" t="s">
        <v>19</v>
      </c>
      <c r="H24" s="20"/>
      <c r="I24" s="22"/>
      <c r="M24" s="15"/>
      <c r="N24" s="15"/>
      <c r="U24" s="15"/>
      <c r="V24" s="15"/>
    </row>
    <row r="25" spans="2:25" x14ac:dyDescent="0.4">
      <c r="C25" s="23" t="s">
        <v>8</v>
      </c>
      <c r="D25" s="13">
        <f>COUNT(F5:F17)</f>
        <v>13</v>
      </c>
      <c r="E25" s="24"/>
      <c r="F25" s="15" t="s">
        <v>20</v>
      </c>
      <c r="G25" s="15" t="s">
        <v>21</v>
      </c>
      <c r="I25" s="25"/>
      <c r="K25" s="26"/>
      <c r="M25" s="24"/>
      <c r="N25" s="15"/>
      <c r="O25" s="15"/>
      <c r="S25" s="26"/>
      <c r="U25" s="24"/>
      <c r="V25" s="15"/>
      <c r="W25" s="15"/>
    </row>
    <row r="26" spans="2:25" x14ac:dyDescent="0.4">
      <c r="C26" s="23" t="s">
        <v>9</v>
      </c>
      <c r="D26" s="27">
        <f>AVERAGE(I5:I17)</f>
        <v>4.9031839039243722E-3</v>
      </c>
      <c r="E26" s="24" t="s">
        <v>15</v>
      </c>
      <c r="F26" s="27">
        <f>(D25-1)/_xlfn.CHISQ.INV(0.975,D25-1)</f>
        <v>0.51421231065513962</v>
      </c>
      <c r="G26" s="27">
        <f>(D25-1)/_xlfn.CHISQ.INV(0.025,D25-1)</f>
        <v>2.7249264993029021</v>
      </c>
      <c r="I26" s="25"/>
      <c r="K26" s="26"/>
      <c r="L26" s="27"/>
      <c r="M26" s="24"/>
      <c r="N26" s="27"/>
      <c r="O26" s="27"/>
      <c r="S26" s="26"/>
      <c r="T26" s="27"/>
      <c r="U26" s="24"/>
      <c r="V26" s="27"/>
      <c r="W26" s="27"/>
    </row>
    <row r="27" spans="2:25" x14ac:dyDescent="0.4">
      <c r="C27" s="23" t="s">
        <v>10</v>
      </c>
      <c r="D27" s="27">
        <f>100*SQRT(D26)</f>
        <v>7.0022738477757152</v>
      </c>
      <c r="E27" s="24" t="s">
        <v>16</v>
      </c>
      <c r="F27" s="27">
        <f>D27*SQRT(F$26)</f>
        <v>5.02123244313987</v>
      </c>
      <c r="G27" s="27">
        <f>D27*SQRT(G$26)</f>
        <v>11.558899493792209</v>
      </c>
      <c r="H27" s="13" t="s">
        <v>22</v>
      </c>
      <c r="I27" s="25"/>
      <c r="K27" s="26"/>
      <c r="L27" s="27"/>
      <c r="M27" s="24"/>
      <c r="N27" s="27"/>
      <c r="O27" s="27"/>
      <c r="S27" s="26"/>
      <c r="T27" s="27"/>
      <c r="U27" s="24"/>
      <c r="V27" s="27"/>
      <c r="W27" s="27"/>
    </row>
    <row r="28" spans="2:25" x14ac:dyDescent="0.4">
      <c r="C28" s="23" t="s">
        <v>11</v>
      </c>
      <c r="D28" s="27">
        <f>AVERAGE(H5:H17)</f>
        <v>0.20788478931914664</v>
      </c>
      <c r="E28" s="24" t="s">
        <v>44</v>
      </c>
      <c r="I28" s="25"/>
      <c r="K28" s="26"/>
      <c r="L28" s="27"/>
      <c r="M28" s="24"/>
      <c r="S28" s="26"/>
      <c r="T28" s="27"/>
      <c r="U28" s="24"/>
    </row>
    <row r="29" spans="2:25" x14ac:dyDescent="0.4">
      <c r="C29" s="23" t="s">
        <v>17</v>
      </c>
      <c r="D29" s="27">
        <f>SQRT(D28)</f>
        <v>0.4559438444799388</v>
      </c>
      <c r="E29" s="24" t="s">
        <v>44</v>
      </c>
      <c r="F29" s="27">
        <f>D29*SQRT(F$26)</f>
        <v>0.32695094106892436</v>
      </c>
      <c r="G29" s="27">
        <f>D29*SQRT(G$26)</f>
        <v>0.75264252551775435</v>
      </c>
      <c r="H29" s="13" t="s">
        <v>45</v>
      </c>
      <c r="I29" s="25"/>
      <c r="K29" s="26"/>
      <c r="L29" s="27"/>
      <c r="M29" s="24"/>
      <c r="N29" s="27"/>
      <c r="O29" s="27"/>
      <c r="S29" s="26"/>
      <c r="T29" s="27"/>
      <c r="U29" s="24"/>
      <c r="V29" s="27"/>
      <c r="W29" s="27"/>
    </row>
    <row r="30" spans="2:25" x14ac:dyDescent="0.4">
      <c r="C30" s="23" t="s">
        <v>12</v>
      </c>
      <c r="D30" s="27">
        <f>1.96 * SQRT(2*D28)</f>
        <v>1.2638118583463549</v>
      </c>
      <c r="E30" s="24" t="s">
        <v>44</v>
      </c>
      <c r="F30" s="27">
        <f>D30*SQRT(F$26)</f>
        <v>0.90626177197702595</v>
      </c>
      <c r="G30" s="27">
        <f>D30*SQRT(G$26)</f>
        <v>2.086218643723655</v>
      </c>
      <c r="H30" s="13" t="s">
        <v>46</v>
      </c>
      <c r="I30" s="25"/>
      <c r="K30" s="26"/>
      <c r="L30" s="27"/>
      <c r="M30" s="24"/>
      <c r="N30" s="27"/>
      <c r="O30" s="27"/>
      <c r="S30" s="26"/>
      <c r="T30" s="27"/>
      <c r="U30" s="24"/>
      <c r="V30" s="27"/>
      <c r="W30" s="27"/>
    </row>
    <row r="31" spans="2:25" x14ac:dyDescent="0.4">
      <c r="C31" s="23" t="s">
        <v>13</v>
      </c>
      <c r="D31" s="27">
        <f>AVERAGE(F5:F17)</f>
        <v>7.8850599911538479</v>
      </c>
      <c r="E31" s="24" t="s">
        <v>44</v>
      </c>
      <c r="I31" s="25"/>
      <c r="K31" s="26"/>
      <c r="L31" s="27"/>
      <c r="M31" s="24"/>
      <c r="S31" s="26"/>
      <c r="T31" s="27"/>
      <c r="U31" s="24"/>
    </row>
    <row r="32" spans="2:25" x14ac:dyDescent="0.4">
      <c r="C32" s="23" t="s">
        <v>14</v>
      </c>
      <c r="D32" s="27">
        <f>AVERAGE(G5:G17)</f>
        <v>-0.1132759976923077</v>
      </c>
      <c r="E32" s="24" t="s">
        <v>44</v>
      </c>
      <c r="I32" s="25"/>
      <c r="K32" s="26"/>
      <c r="L32" s="27"/>
      <c r="M32" s="24"/>
      <c r="S32" s="26"/>
      <c r="T32" s="27"/>
      <c r="U32" s="24"/>
    </row>
    <row r="33" spans="3:21" ht="15" thickBot="1" x14ac:dyDescent="0.45">
      <c r="C33" s="28" t="s">
        <v>23</v>
      </c>
      <c r="D33" s="29" t="s">
        <v>23</v>
      </c>
      <c r="E33" s="30"/>
      <c r="F33" s="31"/>
      <c r="G33" s="31"/>
      <c r="H33" s="31"/>
      <c r="I33" s="32"/>
      <c r="K33" s="26"/>
      <c r="L33" s="26"/>
      <c r="M33" s="15"/>
      <c r="S33" s="26"/>
      <c r="T33" s="26"/>
      <c r="U33" s="15"/>
    </row>
    <row r="34" spans="3:21" x14ac:dyDescent="0.4">
      <c r="E34" s="15"/>
      <c r="M34" s="15"/>
      <c r="U34" s="15"/>
    </row>
    <row r="35" spans="3:21" x14ac:dyDescent="0.4">
      <c r="E35" s="15"/>
      <c r="M35" s="15"/>
      <c r="U35" s="1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09E1-AD69-44ED-ABDA-48143ED2D59B}">
  <dimension ref="A1:Z28"/>
  <sheetViews>
    <sheetView workbookViewId="0">
      <selection sqref="A1:Z28"/>
    </sheetView>
  </sheetViews>
  <sheetFormatPr defaultRowHeight="14.6" x14ac:dyDescent="0.4"/>
  <cols>
    <col min="2" max="2" width="15.84375" customWidth="1"/>
    <col min="3" max="3" width="15.15234375" customWidth="1"/>
    <col min="4" max="4" width="15.3828125" customWidth="1"/>
    <col min="5" max="5" width="10.84375" customWidth="1"/>
    <col min="6" max="6" width="11.3828125" customWidth="1"/>
    <col min="7" max="7" width="12.69140625" customWidth="1"/>
    <col min="8" max="8" width="15.69140625" customWidth="1"/>
    <col min="9" max="9" width="14.3046875" customWidth="1"/>
    <col min="11" max="11" width="14.3828125" customWidth="1"/>
    <col min="12" max="12" width="17.15234375" customWidth="1"/>
    <col min="14" max="14" width="12.53515625" customWidth="1"/>
    <col min="15" max="15" width="11.3046875" customWidth="1"/>
    <col min="16" max="16" width="15.3828125" customWidth="1"/>
    <col min="17" max="17" width="12.53515625" customWidth="1"/>
    <col min="19" max="19" width="15" customWidth="1"/>
    <col min="20" max="20" width="15.69140625" customWidth="1"/>
    <col min="21" max="21" width="11.69140625" customWidth="1"/>
    <col min="22" max="22" width="11.53515625" customWidth="1"/>
    <col min="23" max="23" width="12.15234375" customWidth="1"/>
    <col min="24" max="24" width="12.3828125" customWidth="1"/>
    <col min="25" max="25" width="10.53515625" bestFit="1" customWidth="1"/>
  </cols>
  <sheetData>
    <row r="1" spans="1:26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s="6" customFormat="1" x14ac:dyDescent="0.4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s="6" customFormat="1" x14ac:dyDescent="0.4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s="6" customFormat="1" x14ac:dyDescent="0.4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s="7" customFormat="1" x14ac:dyDescent="0.4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x14ac:dyDescent="0.4">
      <c r="A6" s="13"/>
      <c r="B6" s="13"/>
      <c r="C6" s="13"/>
      <c r="D6" s="13"/>
      <c r="E6" s="13"/>
      <c r="F6" s="13"/>
      <c r="G6" s="13"/>
      <c r="H6" s="13"/>
      <c r="I6" s="13"/>
      <c r="J6" s="13"/>
      <c r="K6" s="2"/>
      <c r="L6" s="2"/>
      <c r="M6" s="2"/>
      <c r="N6" s="2"/>
      <c r="O6" s="2"/>
      <c r="P6" s="2"/>
      <c r="Q6" s="2"/>
      <c r="R6" s="2"/>
      <c r="S6" s="13"/>
      <c r="T6" s="13"/>
      <c r="U6" s="13"/>
      <c r="V6" s="13"/>
      <c r="W6" s="13"/>
      <c r="X6" s="13"/>
      <c r="Y6" s="13"/>
      <c r="Z6" s="13"/>
    </row>
    <row r="7" spans="1:26" x14ac:dyDescent="0.4">
      <c r="A7" s="13"/>
      <c r="B7" s="13"/>
      <c r="C7" s="13" t="s">
        <v>72</v>
      </c>
      <c r="D7" s="13"/>
      <c r="E7" s="13"/>
      <c r="F7" s="13"/>
      <c r="G7" s="13"/>
      <c r="H7" s="13"/>
      <c r="I7" s="13"/>
      <c r="J7" s="13"/>
      <c r="K7" s="13" t="s">
        <v>100</v>
      </c>
      <c r="L7" s="13"/>
      <c r="M7" s="13"/>
      <c r="N7" s="13"/>
      <c r="O7" s="13"/>
      <c r="P7" s="13"/>
      <c r="Q7" s="13"/>
      <c r="R7" s="13"/>
      <c r="S7" s="13"/>
      <c r="T7" s="13" t="s">
        <v>132</v>
      </c>
      <c r="U7" s="13"/>
      <c r="V7" s="13"/>
      <c r="W7" s="13"/>
      <c r="X7" s="13"/>
      <c r="Y7" s="13"/>
      <c r="Z7" s="13"/>
    </row>
    <row r="8" spans="1:26" ht="43.75" x14ac:dyDescent="0.4">
      <c r="A8" s="13"/>
      <c r="B8" s="14" t="s">
        <v>82</v>
      </c>
      <c r="C8" s="14" t="s">
        <v>83</v>
      </c>
      <c r="D8" s="14" t="s">
        <v>84</v>
      </c>
      <c r="E8" s="14" t="s">
        <v>90</v>
      </c>
      <c r="F8" s="14" t="s">
        <v>85</v>
      </c>
      <c r="G8" s="14" t="s">
        <v>86</v>
      </c>
      <c r="H8" s="14" t="s">
        <v>92</v>
      </c>
      <c r="I8" s="14" t="s">
        <v>99</v>
      </c>
      <c r="J8" s="13" t="s">
        <v>41</v>
      </c>
      <c r="K8" s="14" t="s">
        <v>87</v>
      </c>
      <c r="L8" s="14" t="s">
        <v>96</v>
      </c>
      <c r="M8" s="14" t="s">
        <v>97</v>
      </c>
      <c r="N8" s="14" t="s">
        <v>88</v>
      </c>
      <c r="O8" s="14" t="s">
        <v>89</v>
      </c>
      <c r="P8" s="14" t="s">
        <v>120</v>
      </c>
      <c r="Q8" s="14" t="s">
        <v>98</v>
      </c>
      <c r="R8" s="13" t="s">
        <v>42</v>
      </c>
      <c r="S8" s="14" t="s">
        <v>101</v>
      </c>
      <c r="T8" s="14" t="s">
        <v>94</v>
      </c>
      <c r="U8" s="14" t="s">
        <v>102</v>
      </c>
      <c r="V8" s="14" t="s">
        <v>118</v>
      </c>
      <c r="W8" s="14" t="s">
        <v>104</v>
      </c>
      <c r="X8" s="14" t="s">
        <v>105</v>
      </c>
      <c r="Y8" s="14" t="s">
        <v>121</v>
      </c>
      <c r="Z8" s="13" t="s">
        <v>43</v>
      </c>
    </row>
    <row r="9" spans="1:26" x14ac:dyDescent="0.4">
      <c r="A9" s="13"/>
      <c r="B9" s="13" t="s">
        <v>65</v>
      </c>
      <c r="C9" s="27">
        <v>6.9175944319999996</v>
      </c>
      <c r="D9" s="27">
        <v>6.5562367439200004</v>
      </c>
      <c r="E9" s="15" t="s">
        <v>1</v>
      </c>
      <c r="F9" s="27">
        <f>IF(Table13674[[#This Row],[Inclusion Flag]]="Y",(Table13674[[#This Row],[Test_Volume]]+Table13674[[#This Row],[ReTest_Volume]])/2,"")</f>
        <v>6.7369155879600005</v>
      </c>
      <c r="G9" s="27">
        <f>IF(Table13674[[#This Row],[Inclusion Flag]]="Y",(Table13674[[#This Row],[ReTest_Volume]]-Table13674[[#This Row],[Test_Volume]]),"")</f>
        <v>-0.36135768807999913</v>
      </c>
      <c r="H9" s="27">
        <f>IF(Table13674[[#This Row],[Inclusion Flag]]="Y",(Table13674[[#This Row],[Difference_Volume]]^2)/2,"")</f>
        <v>6.528968936726097E-2</v>
      </c>
      <c r="I9" s="27">
        <f>IF(Table13674[[#This Row],[Inclusion Flag]]="Y",Table13674[[#This Row],[Pair_Variance V is sq(Diff)/2]]/(Table13674[[#This Row],[Average_Volume]]^2),"")</f>
        <v>1.4385414853218526E-3</v>
      </c>
      <c r="J9" s="13"/>
      <c r="K9" s="27">
        <v>7.8020357999999996</v>
      </c>
      <c r="L9" s="27">
        <v>7.1424946780000003</v>
      </c>
      <c r="M9" s="15" t="s">
        <v>1</v>
      </c>
      <c r="N9" s="27">
        <f>IF(Table13674[[#This Row],[Inclusion Flag2]]="Y",(Table13674[[#This Row],[Test_Volume2]]+Table13674[[#This Row],[ReTest_Volume2]])/2,"")</f>
        <v>7.4722652390000004</v>
      </c>
      <c r="O9" s="27">
        <f>IF(Table13674[[#This Row],[Inclusion Flag2]]="Y",Table13674[[#This Row],[ReTest_Volume2]]-Table13674[[#This Row],[Test_Volume2]],"")</f>
        <v>-0.65954112199999937</v>
      </c>
      <c r="P9" s="27">
        <f>IF(Table13674[[#This Row],[Inclusion Flag2]]="Y",(Table13674[[#This Row],[Difference_Volume2]]^2)/2,"")</f>
        <v>0.21749724580450902</v>
      </c>
      <c r="Q9" s="27">
        <f>IF(Table13674[[#This Row],[Inclusion Flag2]]="Y",Table13674[[#This Row],[Pair_Variance V2 is sq(Diff)/2]]/(Table13674[[#This Row],[Average_Volume2]]^2),"")</f>
        <v>3.8953743746800622E-3</v>
      </c>
      <c r="R9" s="13"/>
      <c r="S9" s="27">
        <v>8.6289879999999997</v>
      </c>
      <c r="T9" s="27">
        <v>8.7938728299999998</v>
      </c>
      <c r="U9" s="15" t="s">
        <v>1</v>
      </c>
      <c r="V9" s="27">
        <f>IF(Table13674[[#This Row],[Inclusion Flag3]]="Y",(Table13674[[#This Row],[Test_Volume3]]+Table13674[[#This Row],[ReTest_Volume3]])/2,"")</f>
        <v>8.7114304149999988</v>
      </c>
      <c r="W9" s="27">
        <f>IF(Table13674[[#This Row],[Inclusion Flag3]]="Y",Table13674[[#This Row],[ReTest_Volume3]]-Table13674[[#This Row],[Test_Volume3]],"")</f>
        <v>0.16488483000000009</v>
      </c>
      <c r="X9" s="27">
        <f>IF(Table13674[[#This Row],[Inclusion Flag3]]="Y",(Table13674[[#This Row],[Difference_Volume3]]^2)/2,"")</f>
        <v>1.3593503582064466E-2</v>
      </c>
      <c r="Y9" s="27">
        <f>IF(Table13674[[#This Row],[Inclusion Flag3]]="Y",Table13674[[#This Row],[Pair_Variance V3 is sq(Diff)/2]]/(Table13674[[#This Row],[Average_Vol3]]^2),"")</f>
        <v>1.791234569162386E-4</v>
      </c>
      <c r="Z9" s="13"/>
    </row>
    <row r="10" spans="1:26" x14ac:dyDescent="0.4">
      <c r="A10" s="13"/>
      <c r="B10" s="13" t="s">
        <v>66</v>
      </c>
      <c r="C10" s="27">
        <v>8.1652879699999996</v>
      </c>
      <c r="D10" s="27">
        <v>8.0673685000000006</v>
      </c>
      <c r="E10" s="15" t="s">
        <v>1</v>
      </c>
      <c r="F10" s="27">
        <f>IF(Table13674[[#This Row],[Inclusion Flag]]="Y",(Table13674[[#This Row],[Test_Volume]]+Table13674[[#This Row],[ReTest_Volume]])/2,"")</f>
        <v>8.116328235000001</v>
      </c>
      <c r="G10" s="27">
        <f>IF(Table13674[[#This Row],[Inclusion Flag]]="Y",(Table13674[[#This Row],[ReTest_Volume]]-Table13674[[#This Row],[Test_Volume]]),"")</f>
        <v>-9.7919469999999009E-2</v>
      </c>
      <c r="H10" s="27">
        <f>IF(Table13674[[#This Row],[Inclusion Flag]]="Y",(Table13674[[#This Row],[Difference_Volume]]^2)/2,"")</f>
        <v>4.7941113025403532E-3</v>
      </c>
      <c r="I10" s="27">
        <f>IF(Table13674[[#This Row],[Inclusion Flag]]="Y",Table13674[[#This Row],[Pair_Variance V is sq(Diff)/2]]/(Table13674[[#This Row],[Average_Volume]]^2),"")</f>
        <v>7.2776121758692832E-5</v>
      </c>
      <c r="J10" s="13"/>
      <c r="K10" s="27">
        <v>8.2347803109999997</v>
      </c>
      <c r="L10" s="27">
        <v>7.7912949999999999</v>
      </c>
      <c r="M10" s="15" t="s">
        <v>1</v>
      </c>
      <c r="N10" s="27">
        <f>IF(Table13674[[#This Row],[Inclusion Flag2]]="Y",(Table13674[[#This Row],[Test_Volume2]]+Table13674[[#This Row],[ReTest_Volume2]])/2,"")</f>
        <v>8.0130376554999998</v>
      </c>
      <c r="O10" s="27">
        <f>IF(Table13674[[#This Row],[Inclusion Flag2]]="Y",Table13674[[#This Row],[ReTest_Volume2]]-Table13674[[#This Row],[Test_Volume2]],"")</f>
        <v>-0.44348531099999988</v>
      </c>
      <c r="P10" s="27">
        <f>IF(Table13674[[#This Row],[Inclusion Flag2]]="Y",(Table13674[[#This Row],[Difference_Volume2]]^2)/2,"")</f>
        <v>9.8339610536383307E-2</v>
      </c>
      <c r="Q10" s="27">
        <f>IF(Table13674[[#This Row],[Inclusion Flag2]]="Y",Table13674[[#This Row],[Pair_Variance V2 is sq(Diff)/2]]/(Table13674[[#This Row],[Average_Volume2]]^2),"")</f>
        <v>1.5315603578107226E-3</v>
      </c>
      <c r="R10" s="13"/>
      <c r="S10" s="27">
        <v>9.8583610000000004</v>
      </c>
      <c r="T10" s="27">
        <v>9.9632301299999995</v>
      </c>
      <c r="U10" s="15" t="s">
        <v>1</v>
      </c>
      <c r="V10" s="27">
        <f>IF(Table13674[[#This Row],[Inclusion Flag3]]="Y",(Table13674[[#This Row],[Test_Volume3]]+Table13674[[#This Row],[ReTest_Volume3]])/2,"")</f>
        <v>9.9107955650000008</v>
      </c>
      <c r="W10" s="27">
        <f>IF(Table13674[[#This Row],[Inclusion Flag3]]="Y",Table13674[[#This Row],[ReTest_Volume3]]-Table13674[[#This Row],[Test_Volume3]],"")</f>
        <v>0.10486912999999909</v>
      </c>
      <c r="X10" s="27">
        <f>IF(Table13674[[#This Row],[Inclusion Flag3]]="Y",(Table13674[[#This Row],[Difference_Volume3]]^2)/2,"")</f>
        <v>5.4987672134783547E-3</v>
      </c>
      <c r="Y10" s="27">
        <f>IF(Table13674[[#This Row],[Inclusion Flag3]]="Y",Table13674[[#This Row],[Pair_Variance V3 is sq(Diff)/2]]/(Table13674[[#This Row],[Average_Vol3]]^2),"")</f>
        <v>5.598198568746041E-5</v>
      </c>
      <c r="Z10" s="13"/>
    </row>
    <row r="11" spans="1:26" x14ac:dyDescent="0.4">
      <c r="A11" s="13"/>
      <c r="B11" s="13" t="s">
        <v>67</v>
      </c>
      <c r="C11" s="27">
        <v>6.6509981150000002</v>
      </c>
      <c r="D11" s="27">
        <v>6.6870079000000002</v>
      </c>
      <c r="E11" s="15" t="s">
        <v>1</v>
      </c>
      <c r="F11" s="27">
        <f>IF(Table13674[[#This Row],[Inclusion Flag]]="Y",(Table13674[[#This Row],[Test_Volume]]+Table13674[[#This Row],[ReTest_Volume]])/2,"")</f>
        <v>6.6690030075000006</v>
      </c>
      <c r="G11" s="27">
        <f>IF(Table13674[[#This Row],[Inclusion Flag]]="Y",(Table13674[[#This Row],[ReTest_Volume]]-Table13674[[#This Row],[Test_Volume]]),"")</f>
        <v>3.6009785000000072E-2</v>
      </c>
      <c r="H11" s="27">
        <f>IF(Table13674[[#This Row],[Inclusion Flag]]="Y",(Table13674[[#This Row],[Difference_Volume]]^2)/2,"")</f>
        <v>6.4835230787311507E-4</v>
      </c>
      <c r="I11" s="27">
        <f>IF(Table13674[[#This Row],[Inclusion Flag]]="Y",Table13674[[#This Row],[Pair_Variance V is sq(Diff)/2]]/(Table13674[[#This Row],[Average_Volume]]^2),"")</f>
        <v>1.4577707588720706E-5</v>
      </c>
      <c r="J11" s="13"/>
      <c r="K11" s="27">
        <v>7.0363600000000002</v>
      </c>
      <c r="L11" s="27">
        <v>6.6162523999999996</v>
      </c>
      <c r="M11" s="15" t="s">
        <v>1</v>
      </c>
      <c r="N11" s="27">
        <f>IF(Table13674[[#This Row],[Inclusion Flag2]]="Y",(Table13674[[#This Row],[Test_Volume2]]+Table13674[[#This Row],[ReTest_Volume2]])/2,"")</f>
        <v>6.8263061999999994</v>
      </c>
      <c r="O11" s="27">
        <f>IF(Table13674[[#This Row],[Inclusion Flag2]]="Y",Table13674[[#This Row],[ReTest_Volume2]]-Table13674[[#This Row],[Test_Volume2]],"")</f>
        <v>-0.42010760000000058</v>
      </c>
      <c r="P11" s="27">
        <f>IF(Table13674[[#This Row],[Inclusion Flag2]]="Y",(Table13674[[#This Row],[Difference_Volume2]]^2)/2,"")</f>
        <v>8.824519778888025E-2</v>
      </c>
      <c r="Q11" s="27">
        <f>IF(Table13674[[#This Row],[Inclusion Flag2]]="Y",Table13674[[#This Row],[Pair_Variance V2 is sq(Diff)/2]]/(Table13674[[#This Row],[Average_Volume2]]^2),"")</f>
        <v>1.8937365038937074E-3</v>
      </c>
      <c r="R11" s="13"/>
      <c r="S11" s="27">
        <v>7.930911</v>
      </c>
      <c r="T11" s="27">
        <v>8.3908205000000002</v>
      </c>
      <c r="U11" s="15" t="s">
        <v>1</v>
      </c>
      <c r="V11" s="27">
        <f>IF(Table13674[[#This Row],[Inclusion Flag3]]="Y",(Table13674[[#This Row],[Test_Volume3]]+Table13674[[#This Row],[ReTest_Volume3]])/2,"")</f>
        <v>8.1608657499999993</v>
      </c>
      <c r="W11" s="27">
        <f>IF(Table13674[[#This Row],[Inclusion Flag3]]="Y",Table13674[[#This Row],[ReTest_Volume3]]-Table13674[[#This Row],[Test_Volume3]],"")</f>
        <v>0.45990950000000019</v>
      </c>
      <c r="X11" s="27">
        <f>IF(Table13674[[#This Row],[Inclusion Flag3]]="Y",(Table13674[[#This Row],[Difference_Volume3]]^2)/2,"")</f>
        <v>0.10575837409512509</v>
      </c>
      <c r="Y11" s="27">
        <f>IF(Table13674[[#This Row],[Inclusion Flag3]]="Y",Table13674[[#This Row],[Pair_Variance V3 is sq(Diff)/2]]/(Table13674[[#This Row],[Average_Vol3]]^2),"")</f>
        <v>1.5879700177366511E-3</v>
      </c>
      <c r="Z11" s="13"/>
    </row>
    <row r="12" spans="1:26" x14ac:dyDescent="0.4">
      <c r="A12" s="13"/>
      <c r="B12" s="13" t="s">
        <v>67</v>
      </c>
      <c r="C12" s="27">
        <v>7.8317275039999998</v>
      </c>
      <c r="D12" s="27">
        <v>7.7634992589999996</v>
      </c>
      <c r="E12" s="15" t="s">
        <v>1</v>
      </c>
      <c r="F12" s="27">
        <f>IF(Table13674[[#This Row],[Inclusion Flag]]="Y",(Table13674[[#This Row],[Test_Volume]]+Table13674[[#This Row],[ReTest_Volume]])/2,"")</f>
        <v>7.7976133814999997</v>
      </c>
      <c r="G12" s="27">
        <f>IF(Table13674[[#This Row],[Inclusion Flag]]="Y",(Table13674[[#This Row],[ReTest_Volume]]-Table13674[[#This Row],[Test_Volume]]),"")</f>
        <v>-6.8228245000000243E-2</v>
      </c>
      <c r="H12" s="27">
        <f>IF(Table13674[[#This Row],[Inclusion Flag]]="Y",(Table13674[[#This Row],[Difference_Volume]]^2)/2,"")</f>
        <v>2.3275467078900289E-3</v>
      </c>
      <c r="I12" s="27">
        <f>IF(Table13674[[#This Row],[Inclusion Flag]]="Y",Table13674[[#This Row],[Pair_Variance V is sq(Diff)/2]]/(Table13674[[#This Row],[Average_Volume]]^2),"")</f>
        <v>3.8280271402838157E-5</v>
      </c>
      <c r="J12" s="13"/>
      <c r="K12" s="27">
        <v>7.2176728199999998</v>
      </c>
      <c r="L12" s="27">
        <v>7.0262541000000001</v>
      </c>
      <c r="M12" s="15" t="s">
        <v>1</v>
      </c>
      <c r="N12" s="27">
        <f>IF(Table13674[[#This Row],[Inclusion Flag2]]="Y",(Table13674[[#This Row],[Test_Volume2]]+Table13674[[#This Row],[ReTest_Volume2]])/2,"")</f>
        <v>7.1219634599999999</v>
      </c>
      <c r="O12" s="27">
        <f>IF(Table13674[[#This Row],[Inclusion Flag2]]="Y",Table13674[[#This Row],[ReTest_Volume2]]-Table13674[[#This Row],[Test_Volume2]],"")</f>
        <v>-0.19141871999999971</v>
      </c>
      <c r="P12" s="27">
        <f>IF(Table13674[[#This Row],[Inclusion Flag2]]="Y",(Table13674[[#This Row],[Difference_Volume2]]^2)/2,"")</f>
        <v>1.8320563183219143E-2</v>
      </c>
      <c r="Q12" s="27">
        <f>IF(Table13674[[#This Row],[Inclusion Flag2]]="Y",Table13674[[#This Row],[Pair_Variance V2 is sq(Diff)/2]]/(Table13674[[#This Row],[Average_Volume2]]^2),"")</f>
        <v>3.611930105343291E-4</v>
      </c>
      <c r="R12" s="13"/>
      <c r="S12" s="27">
        <v>9.2721032999999995</v>
      </c>
      <c r="T12" s="27">
        <v>8.9625489999999992</v>
      </c>
      <c r="U12" s="15" t="s">
        <v>1</v>
      </c>
      <c r="V12" s="27">
        <f>IF(Table13674[[#This Row],[Inclusion Flag3]]="Y",(Table13674[[#This Row],[Test_Volume3]]+Table13674[[#This Row],[ReTest_Volume3]])/2,"")</f>
        <v>9.1173261500000002</v>
      </c>
      <c r="W12" s="27">
        <f>IF(Table13674[[#This Row],[Inclusion Flag3]]="Y",Table13674[[#This Row],[ReTest_Volume3]]-Table13674[[#This Row],[Test_Volume3]],"")</f>
        <v>-0.30955430000000028</v>
      </c>
      <c r="X12" s="27">
        <f>IF(Table13674[[#This Row],[Inclusion Flag3]]="Y",(Table13674[[#This Row],[Difference_Volume3]]^2)/2,"")</f>
        <v>4.7911932324245086E-2</v>
      </c>
      <c r="Y12" s="27">
        <f>IF(Table13674[[#This Row],[Inclusion Flag3]]="Y",Table13674[[#This Row],[Pair_Variance V3 is sq(Diff)/2]]/(Table13674[[#This Row],[Average_Vol3]]^2),"")</f>
        <v>5.7637973743652939E-4</v>
      </c>
      <c r="Z12" s="13"/>
    </row>
    <row r="13" spans="1:26" x14ac:dyDescent="0.4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27" t="str">
        <f>IF(Table13674[[#This Row],[Inclusion Flag2]]="Y",(Table13674[[#This Row],[Test_Volume2]]+Table13674[[#This Row],[ReTest_Volume2]])/2,"")</f>
        <v/>
      </c>
      <c r="W13" s="27" t="str">
        <f>IF(Table13674[[#This Row],[Inclusion Flag2]]="Y",Table13674[[#This Row],[ReTest_Volume2]]-Table13674[[#This Row],[Test_Volume2]],"")</f>
        <v/>
      </c>
      <c r="X13" s="27" t="str">
        <f>IF(Table13674[[#This Row],[Inclusion Flag3]]="Y",(Table13674[[#This Row],[Difference_Volume3]]^2)/2,"")</f>
        <v/>
      </c>
      <c r="Y13" s="27" t="str">
        <f>IF(Table13674[[#This Row],[Inclusion Flag2]]="Y",Table13674[[#This Row],[Pair_Variance V2 is sq(Diff)/2]]/(Table13674[[#This Row],[Average_Volume2]]^2),"")</f>
        <v/>
      </c>
      <c r="Z13" s="13"/>
    </row>
    <row r="14" spans="1:26" x14ac:dyDescent="0.4">
      <c r="A14" s="13"/>
      <c r="B14" s="13"/>
      <c r="C14" s="13"/>
      <c r="D14" s="13"/>
      <c r="E14" s="15"/>
      <c r="F14" s="13"/>
      <c r="G14" s="13"/>
      <c r="H14" s="13"/>
      <c r="I14" s="13"/>
      <c r="J14" s="13"/>
      <c r="K14" s="13"/>
      <c r="L14" s="13"/>
      <c r="M14" s="15"/>
      <c r="N14" s="13"/>
      <c r="O14" s="13"/>
      <c r="P14" s="13"/>
      <c r="Q14" s="13"/>
      <c r="R14" s="13"/>
      <c r="S14" s="13"/>
      <c r="T14" s="13"/>
      <c r="U14" s="15"/>
      <c r="V14" s="27" t="str">
        <f>IF(Table13674[[#This Row],[Inclusion Flag2]]="Y",(Table13674[[#This Row],[Test_Volume2]]+Table13674[[#This Row],[ReTest_Volume2]])/2,"")</f>
        <v/>
      </c>
      <c r="W14" s="27" t="str">
        <f>IF(Table13674[[#This Row],[Inclusion Flag2]]="Y",Table13674[[#This Row],[ReTest_Volume2]]-Table13674[[#This Row],[Test_Volume2]],"")</f>
        <v/>
      </c>
      <c r="X14" s="27" t="str">
        <f>IF(Table13674[[#This Row],[Inclusion Flag3]]="Y",(Table13674[[#This Row],[Difference_Volume3]]^2)/2,"")</f>
        <v/>
      </c>
      <c r="Y14" s="27" t="str">
        <f>IF(Table13674[[#This Row],[Inclusion Flag2]]="Y",Table13674[[#This Row],[Pair_Variance V2 is sq(Diff)/2]]/(Table13674[[#This Row],[Average_Volume2]]^2),"")</f>
        <v/>
      </c>
      <c r="Z14" s="13"/>
    </row>
    <row r="15" spans="1:26" x14ac:dyDescent="0.4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" thickBot="1" x14ac:dyDescent="0.4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x14ac:dyDescent="0.4">
      <c r="A17" s="13"/>
      <c r="B17" s="13"/>
      <c r="C17" s="19" t="s">
        <v>7</v>
      </c>
      <c r="D17" s="20"/>
      <c r="E17" s="21"/>
      <c r="F17" s="21" t="s">
        <v>18</v>
      </c>
      <c r="G17" s="20" t="s">
        <v>19</v>
      </c>
      <c r="H17" s="20"/>
      <c r="I17" s="22"/>
      <c r="J17" s="13"/>
      <c r="K17" s="19" t="s">
        <v>7</v>
      </c>
      <c r="L17" s="20"/>
      <c r="M17" s="21"/>
      <c r="N17" s="21" t="s">
        <v>18</v>
      </c>
      <c r="O17" s="20" t="s">
        <v>19</v>
      </c>
      <c r="P17" s="20"/>
      <c r="Q17" s="22"/>
      <c r="R17" s="13"/>
      <c r="S17" s="13"/>
      <c r="T17" s="19" t="s">
        <v>7</v>
      </c>
      <c r="U17" s="20"/>
      <c r="V17" s="21"/>
      <c r="W17" s="21" t="s">
        <v>18</v>
      </c>
      <c r="X17" s="20" t="s">
        <v>19</v>
      </c>
      <c r="Y17" s="20"/>
      <c r="Z17" s="22"/>
    </row>
    <row r="18" spans="1:26" x14ac:dyDescent="0.4">
      <c r="A18" s="13"/>
      <c r="B18" s="13"/>
      <c r="C18" s="23" t="s">
        <v>8</v>
      </c>
      <c r="D18" s="13">
        <f>COUNT(F9:F12)</f>
        <v>4</v>
      </c>
      <c r="E18" s="24"/>
      <c r="F18" s="15" t="s">
        <v>20</v>
      </c>
      <c r="G18" s="15" t="s">
        <v>21</v>
      </c>
      <c r="H18" s="13"/>
      <c r="I18" s="25"/>
      <c r="J18" s="13"/>
      <c r="K18" s="23" t="s">
        <v>8</v>
      </c>
      <c r="L18" s="13">
        <f>COUNT(N9:N12)</f>
        <v>4</v>
      </c>
      <c r="M18" s="24"/>
      <c r="N18" s="15" t="s">
        <v>20</v>
      </c>
      <c r="O18" s="15" t="s">
        <v>21</v>
      </c>
      <c r="P18" s="13"/>
      <c r="Q18" s="25"/>
      <c r="R18" s="13"/>
      <c r="S18" s="26"/>
      <c r="T18" s="23" t="s">
        <v>8</v>
      </c>
      <c r="U18" s="13">
        <f>COUNT(W9:W12)</f>
        <v>4</v>
      </c>
      <c r="V18" s="24"/>
      <c r="W18" s="15" t="s">
        <v>20</v>
      </c>
      <c r="X18" s="15" t="s">
        <v>21</v>
      </c>
      <c r="Y18" s="13"/>
      <c r="Z18" s="25"/>
    </row>
    <row r="19" spans="1:26" x14ac:dyDescent="0.4">
      <c r="A19" s="13"/>
      <c r="B19" s="13"/>
      <c r="C19" s="23" t="s">
        <v>9</v>
      </c>
      <c r="D19" s="27">
        <f>AVERAGE(I9:I12)</f>
        <v>3.9104389651802604E-4</v>
      </c>
      <c r="E19" s="24" t="s">
        <v>15</v>
      </c>
      <c r="F19" s="27">
        <f>(D18-1)/_xlfn.CHISQ.INV(0.975,D18-1)</f>
        <v>0.32091040640961821</v>
      </c>
      <c r="G19" s="27">
        <f>(D18-1)/_xlfn.CHISQ.INV(0.025,D18-1)</f>
        <v>13.902064788082491</v>
      </c>
      <c r="H19" s="13"/>
      <c r="I19" s="25"/>
      <c r="J19" s="13"/>
      <c r="K19" s="23" t="s">
        <v>9</v>
      </c>
      <c r="L19" s="27">
        <f>AVERAGE(Q9:Q12)</f>
        <v>1.9204660617297051E-3</v>
      </c>
      <c r="M19" s="24" t="s">
        <v>15</v>
      </c>
      <c r="N19" s="27">
        <f>(L18-1)/_xlfn.CHISQ.INV(0.975,L18-1)</f>
        <v>0.32091040640961821</v>
      </c>
      <c r="O19" s="27">
        <f>(L18-1)/_xlfn.CHISQ.INV(0.025,L18-1)</f>
        <v>13.902064788082491</v>
      </c>
      <c r="P19" s="13"/>
      <c r="Q19" s="25"/>
      <c r="R19" s="13"/>
      <c r="S19" s="26"/>
      <c r="T19" s="23" t="s">
        <v>9</v>
      </c>
      <c r="U19" s="27">
        <f>AVERAGE(Y9:Y12)</f>
        <v>5.9986379944421987E-4</v>
      </c>
      <c r="V19" s="24" t="s">
        <v>15</v>
      </c>
      <c r="W19" s="27">
        <f>(U18-1)/_xlfn.CHISQ.INV(0.975,U18-1)</f>
        <v>0.32091040640961821</v>
      </c>
      <c r="X19" s="27">
        <f>(U18-1)/_xlfn.CHISQ.INV(0.025,U18-1)</f>
        <v>13.902064788082491</v>
      </c>
      <c r="Y19" s="13"/>
      <c r="Z19" s="25"/>
    </row>
    <row r="20" spans="1:26" s="5" customFormat="1" x14ac:dyDescent="0.4">
      <c r="A20" s="13"/>
      <c r="B20" s="13"/>
      <c r="C20" s="23" t="s">
        <v>10</v>
      </c>
      <c r="D20" s="27">
        <f>100*SQRT(D19)</f>
        <v>1.9774829873301716</v>
      </c>
      <c r="E20" s="24" t="s">
        <v>16</v>
      </c>
      <c r="F20" s="27">
        <f>D20*SQRT(F$19)</f>
        <v>1.1202234409063236</v>
      </c>
      <c r="G20" s="27">
        <f>D20*SQRT(G$19)</f>
        <v>7.3731388054056204</v>
      </c>
      <c r="H20" s="13" t="s">
        <v>22</v>
      </c>
      <c r="I20" s="25"/>
      <c r="J20" s="13"/>
      <c r="K20" s="23" t="s">
        <v>10</v>
      </c>
      <c r="L20" s="27">
        <f>100*SQRT(L19)</f>
        <v>4.3823122455271317</v>
      </c>
      <c r="M20" s="24" t="s">
        <v>16</v>
      </c>
      <c r="N20" s="27">
        <f>L20*SQRT(N$19)</f>
        <v>2.4825340770381352</v>
      </c>
      <c r="O20" s="27">
        <f>L20*SQRT(O$19)</f>
        <v>16.33965838488675</v>
      </c>
      <c r="P20" s="13" t="s">
        <v>22</v>
      </c>
      <c r="Q20" s="25"/>
      <c r="R20" s="13"/>
      <c r="S20" s="26"/>
      <c r="T20" s="23" t="s">
        <v>10</v>
      </c>
      <c r="U20" s="27">
        <f>100*SQRT(U19)</f>
        <v>2.4492117087835013</v>
      </c>
      <c r="V20" s="24" t="s">
        <v>16</v>
      </c>
      <c r="W20" s="27">
        <f>U20*SQRT(W$19)</f>
        <v>1.3874528304416776</v>
      </c>
      <c r="X20" s="27">
        <f>U20*SQRT(X$19)</f>
        <v>9.1320016447101384</v>
      </c>
      <c r="Y20" s="13" t="s">
        <v>22</v>
      </c>
      <c r="Z20" s="25"/>
    </row>
    <row r="21" spans="1:26" x14ac:dyDescent="0.4">
      <c r="A21" s="13"/>
      <c r="B21" s="13"/>
      <c r="C21" s="23" t="s">
        <v>11</v>
      </c>
      <c r="D21" s="27">
        <f>AVERAGE(H9:H12)</f>
        <v>1.8264924921391118E-2</v>
      </c>
      <c r="E21" s="24" t="s">
        <v>44</v>
      </c>
      <c r="F21" s="27"/>
      <c r="G21" s="27"/>
      <c r="H21" s="13"/>
      <c r="I21" s="25"/>
      <c r="J21" s="13"/>
      <c r="K21" s="23" t="s">
        <v>11</v>
      </c>
      <c r="L21" s="27">
        <f>AVERAGE(P9:P12)</f>
        <v>0.10560065432824792</v>
      </c>
      <c r="M21" s="24" t="s">
        <v>44</v>
      </c>
      <c r="N21" s="27"/>
      <c r="O21" s="27"/>
      <c r="P21" s="13"/>
      <c r="Q21" s="25"/>
      <c r="R21" s="13"/>
      <c r="S21" s="26"/>
      <c r="T21" s="23" t="s">
        <v>11</v>
      </c>
      <c r="U21" s="27">
        <f>AVERAGE(X9:X12)</f>
        <v>4.3190644303728251E-2</v>
      </c>
      <c r="V21" s="24" t="s">
        <v>44</v>
      </c>
      <c r="W21" s="27"/>
      <c r="X21" s="27"/>
      <c r="Y21" s="13"/>
      <c r="Z21" s="25"/>
    </row>
    <row r="22" spans="1:26" x14ac:dyDescent="0.4">
      <c r="A22" s="13"/>
      <c r="B22" s="13"/>
      <c r="C22" s="23" t="s">
        <v>17</v>
      </c>
      <c r="D22" s="27">
        <f>SQRT(D21)</f>
        <v>0.13514778918425235</v>
      </c>
      <c r="E22" s="24" t="s">
        <v>44</v>
      </c>
      <c r="F22" s="27">
        <f>D22*SQRT(F$19)</f>
        <v>7.6559809819283037E-2</v>
      </c>
      <c r="G22" s="27">
        <f>D22*SQRT(G$19)</f>
        <v>0.50390492119708641</v>
      </c>
      <c r="H22" s="13" t="s">
        <v>45</v>
      </c>
      <c r="I22" s="25"/>
      <c r="J22" s="13"/>
      <c r="K22" s="23" t="s">
        <v>17</v>
      </c>
      <c r="L22" s="27">
        <f>SQRT(L21)</f>
        <v>0.32496254296187416</v>
      </c>
      <c r="M22" s="24" t="s">
        <v>44</v>
      </c>
      <c r="N22" s="27">
        <f>L22*SQRT(N$19)</f>
        <v>0.18408788362518497</v>
      </c>
      <c r="O22" s="27">
        <f>L22*SQRT(O$19)</f>
        <v>1.2116382043065521</v>
      </c>
      <c r="P22" s="13" t="s">
        <v>24</v>
      </c>
      <c r="Q22" s="25"/>
      <c r="R22" s="13"/>
      <c r="S22" s="26"/>
      <c r="T22" s="23" t="s">
        <v>17</v>
      </c>
      <c r="U22" s="27">
        <f>SQRT(U21)</f>
        <v>0.20782358938226492</v>
      </c>
      <c r="V22" s="24" t="s">
        <v>44</v>
      </c>
      <c r="W22" s="27">
        <f>U22*SQRT(W$19)</f>
        <v>0.11772989092241058</v>
      </c>
      <c r="X22" s="27">
        <f>U22*SQRT(X$19)</f>
        <v>0.77488007804398751</v>
      </c>
      <c r="Y22" s="13" t="s">
        <v>24</v>
      </c>
      <c r="Z22" s="25"/>
    </row>
    <row r="23" spans="1:26" x14ac:dyDescent="0.4">
      <c r="A23" s="13"/>
      <c r="B23" s="13"/>
      <c r="C23" s="23" t="s">
        <v>12</v>
      </c>
      <c r="D23" s="27">
        <f>1.96 * SQRT(2*D21)</f>
        <v>0.37461055932265475</v>
      </c>
      <c r="E23" s="24" t="s">
        <v>44</v>
      </c>
      <c r="F23" s="27">
        <f>D23*SQRT(F$19)</f>
        <v>0.21221296590310443</v>
      </c>
      <c r="G23" s="27">
        <f>D23*SQRT(G$19)</f>
        <v>1.3967531804587918</v>
      </c>
      <c r="H23" s="13" t="s">
        <v>46</v>
      </c>
      <c r="I23" s="25"/>
      <c r="J23" s="13"/>
      <c r="K23" s="23" t="s">
        <v>12</v>
      </c>
      <c r="L23" s="27">
        <f>1.96 * SQRT(2*L21)</f>
        <v>0.90075021361906682</v>
      </c>
      <c r="M23" s="24" t="s">
        <v>44</v>
      </c>
      <c r="N23" s="27">
        <f>L23*SQRT(N$19)</f>
        <v>0.51026558011494128</v>
      </c>
      <c r="O23" s="27">
        <f>L23*SQRT(O$19)</f>
        <v>3.3584897551906301</v>
      </c>
      <c r="P23" s="13" t="s">
        <v>25</v>
      </c>
      <c r="Q23" s="25"/>
      <c r="R23" s="13"/>
      <c r="S23" s="26"/>
      <c r="T23" s="23" t="s">
        <v>12</v>
      </c>
      <c r="U23" s="27">
        <f>1.96 * SQRT(2*U21)</f>
        <v>0.57605759982349414</v>
      </c>
      <c r="V23" s="24" t="s">
        <v>44</v>
      </c>
      <c r="W23" s="27">
        <f>U23*SQRT(W$19)</f>
        <v>0.32633060854078921</v>
      </c>
      <c r="X23" s="27">
        <f>U23*SQRT(X$19)</f>
        <v>2.147857994541758</v>
      </c>
      <c r="Y23" s="13" t="s">
        <v>25</v>
      </c>
      <c r="Z23" s="25"/>
    </row>
    <row r="24" spans="1:26" x14ac:dyDescent="0.4">
      <c r="A24" s="13"/>
      <c r="B24" s="13"/>
      <c r="C24" s="23" t="s">
        <v>13</v>
      </c>
      <c r="D24" s="27">
        <f>AVERAGE(F9:F12)</f>
        <v>7.3299650529900005</v>
      </c>
      <c r="E24" s="24" t="s">
        <v>44</v>
      </c>
      <c r="F24" s="13"/>
      <c r="G24" s="13"/>
      <c r="H24" s="13"/>
      <c r="I24" s="25"/>
      <c r="J24" s="13"/>
      <c r="K24" s="23" t="s">
        <v>13</v>
      </c>
      <c r="L24" s="27">
        <f>AVERAGE(N9:N12)</f>
        <v>7.3583931386249999</v>
      </c>
      <c r="M24" s="24" t="s">
        <v>44</v>
      </c>
      <c r="N24" s="13"/>
      <c r="O24" s="13"/>
      <c r="P24" s="13"/>
      <c r="Q24" s="25"/>
      <c r="R24" s="13"/>
      <c r="S24" s="26"/>
      <c r="T24" s="23" t="s">
        <v>13</v>
      </c>
      <c r="U24" s="27">
        <f>AVERAGE(V9:V12)</f>
        <v>8.9751044699999998</v>
      </c>
      <c r="V24" s="24" t="s">
        <v>44</v>
      </c>
      <c r="W24" s="13"/>
      <c r="X24" s="13"/>
      <c r="Y24" s="13"/>
      <c r="Z24" s="25"/>
    </row>
    <row r="25" spans="1:26" x14ac:dyDescent="0.4">
      <c r="A25" s="13"/>
      <c r="B25" s="13"/>
      <c r="C25" s="23" t="s">
        <v>14</v>
      </c>
      <c r="D25" s="27">
        <f>AVERAGE(G9:G12)</f>
        <v>-0.12287390451999958</v>
      </c>
      <c r="E25" s="24" t="s">
        <v>44</v>
      </c>
      <c r="F25" s="13"/>
      <c r="G25" s="13"/>
      <c r="H25" s="13"/>
      <c r="I25" s="25"/>
      <c r="J25" s="13"/>
      <c r="K25" s="23" t="s">
        <v>14</v>
      </c>
      <c r="L25" s="27">
        <f>AVERAGE(O9:O12)</f>
        <v>-0.42863818824999989</v>
      </c>
      <c r="M25" s="24" t="s">
        <v>44</v>
      </c>
      <c r="N25" s="13"/>
      <c r="O25" s="13"/>
      <c r="P25" s="13"/>
      <c r="Q25" s="25"/>
      <c r="R25" s="13"/>
      <c r="S25" s="26"/>
      <c r="T25" s="23" t="s">
        <v>14</v>
      </c>
      <c r="U25" s="27">
        <f>AVERAGE(W9:W12)</f>
        <v>0.10502728999999977</v>
      </c>
      <c r="V25" s="24" t="s">
        <v>44</v>
      </c>
      <c r="W25" s="13"/>
      <c r="X25" s="13"/>
      <c r="Y25" s="13"/>
      <c r="Z25" s="25"/>
    </row>
    <row r="26" spans="1:26" ht="15" thickBot="1" x14ac:dyDescent="0.45">
      <c r="A26" s="13"/>
      <c r="B26" s="13"/>
      <c r="C26" s="28" t="s">
        <v>23</v>
      </c>
      <c r="D26" s="29" t="s">
        <v>23</v>
      </c>
      <c r="E26" s="30"/>
      <c r="F26" s="31"/>
      <c r="G26" s="31"/>
      <c r="H26" s="31"/>
      <c r="I26" s="32"/>
      <c r="J26" s="13"/>
      <c r="K26" s="28" t="s">
        <v>23</v>
      </c>
      <c r="L26" s="29" t="s">
        <v>23</v>
      </c>
      <c r="M26" s="30"/>
      <c r="N26" s="31"/>
      <c r="O26" s="31"/>
      <c r="P26" s="31"/>
      <c r="Q26" s="32"/>
      <c r="R26" s="13"/>
      <c r="S26" s="26"/>
      <c r="T26" s="28" t="s">
        <v>23</v>
      </c>
      <c r="U26" s="29" t="s">
        <v>23</v>
      </c>
      <c r="V26" s="30"/>
      <c r="W26" s="31"/>
      <c r="X26" s="31"/>
      <c r="Y26" s="31"/>
      <c r="Z26" s="32"/>
    </row>
    <row r="27" spans="1:26" x14ac:dyDescent="0.4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x14ac:dyDescent="0.4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B1106-6840-4A21-83FF-62BF326A117B}">
  <dimension ref="A2:AD36"/>
  <sheetViews>
    <sheetView zoomScaleNormal="100" workbookViewId="0">
      <selection activeCell="A2" sqref="A1:XFD1048576"/>
    </sheetView>
  </sheetViews>
  <sheetFormatPr defaultRowHeight="14.6" x14ac:dyDescent="0.4"/>
  <cols>
    <col min="1" max="1" width="16.69140625" style="13" customWidth="1"/>
    <col min="2" max="2" width="14.3828125" style="13" customWidth="1"/>
    <col min="3" max="3" width="18.3046875" style="13" customWidth="1"/>
    <col min="4" max="4" width="17.53515625" style="13" customWidth="1"/>
    <col min="5" max="5" width="9.23046875" style="13"/>
    <col min="6" max="6" width="11.84375" style="13" customWidth="1"/>
    <col min="7" max="7" width="12" style="13" customWidth="1"/>
    <col min="8" max="8" width="13.69140625" style="13" customWidth="1"/>
    <col min="9" max="9" width="14.3828125" style="13" customWidth="1"/>
    <col min="10" max="10" width="16.69140625" style="13" customWidth="1"/>
    <col min="11" max="11" width="15.53515625" style="13" customWidth="1"/>
    <col min="12" max="12" width="19.3046875" style="13" customWidth="1"/>
    <col min="13" max="13" width="12.3046875" style="13" customWidth="1"/>
    <col min="14" max="14" width="14.69140625" style="13" customWidth="1"/>
    <col min="15" max="15" width="12" style="13" customWidth="1"/>
    <col min="16" max="16" width="14" style="13" customWidth="1"/>
    <col min="17" max="17" width="15.53515625" style="13" customWidth="1"/>
    <col min="18" max="18" width="9.23046875" style="13"/>
    <col min="19" max="19" width="18" style="13" customWidth="1"/>
    <col min="20" max="20" width="19" style="13" customWidth="1"/>
    <col min="21" max="21" width="9.23046875" style="13"/>
    <col min="22" max="22" width="20.3046875" style="13" customWidth="1"/>
    <col min="23" max="23" width="22.84375" style="13" customWidth="1"/>
    <col min="24" max="24" width="13" style="13" customWidth="1"/>
    <col min="25" max="25" width="14.3828125" style="13" customWidth="1"/>
    <col min="26" max="26" width="9.23046875" style="13"/>
    <col min="27" max="27" width="2.69140625" style="13" customWidth="1"/>
    <col min="28" max="28" width="23.15234375" style="13" customWidth="1"/>
    <col min="29" max="29" width="20.53515625" style="13" customWidth="1"/>
    <col min="30" max="30" width="22.15234375" style="13" bestFit="1" customWidth="1"/>
    <col min="31" max="31" width="9.23046875" style="13"/>
    <col min="32" max="32" width="17" style="13" customWidth="1"/>
    <col min="33" max="16384" width="9.23046875" style="13"/>
  </cols>
  <sheetData>
    <row r="2" spans="1:29" ht="18.45" x14ac:dyDescent="0.5">
      <c r="A2" s="16"/>
      <c r="B2" s="34"/>
      <c r="C2" s="34"/>
      <c r="D2" s="3"/>
      <c r="E2" s="3"/>
      <c r="F2" s="3"/>
      <c r="G2" s="3"/>
      <c r="H2" s="35"/>
      <c r="I2" s="3"/>
      <c r="J2" s="3"/>
      <c r="K2" s="3"/>
      <c r="L2" s="3"/>
      <c r="M2" s="3"/>
      <c r="N2" s="3"/>
      <c r="O2" s="3"/>
    </row>
    <row r="4" spans="1:29" ht="18.45" x14ac:dyDescent="0.5">
      <c r="A4" s="16"/>
      <c r="B4" s="34"/>
      <c r="C4" s="34"/>
      <c r="D4" s="34"/>
      <c r="E4" s="34"/>
      <c r="F4" s="34"/>
      <c r="G4" s="3"/>
      <c r="H4" s="3"/>
    </row>
    <row r="5" spans="1:29" ht="13.5" customHeight="1" x14ac:dyDescent="0.4"/>
    <row r="6" spans="1:29" x14ac:dyDescent="0.4">
      <c r="K6" s="12"/>
      <c r="L6" s="12"/>
      <c r="M6" s="12"/>
      <c r="N6" s="12"/>
      <c r="O6" s="12"/>
    </row>
    <row r="7" spans="1:29" x14ac:dyDescent="0.4">
      <c r="C7" s="13" t="s">
        <v>73</v>
      </c>
      <c r="K7" s="12" t="s">
        <v>123</v>
      </c>
      <c r="L7" s="12"/>
      <c r="M7" s="12"/>
      <c r="N7" s="12"/>
      <c r="O7" s="12"/>
      <c r="S7" s="13" t="s">
        <v>81</v>
      </c>
    </row>
    <row r="8" spans="1:29" ht="29.15" x14ac:dyDescent="0.4">
      <c r="B8" s="14" t="s">
        <v>82</v>
      </c>
      <c r="C8" s="14" t="s">
        <v>83</v>
      </c>
      <c r="D8" s="14" t="s">
        <v>84</v>
      </c>
      <c r="E8" s="14" t="s">
        <v>90</v>
      </c>
      <c r="F8" s="14" t="s">
        <v>85</v>
      </c>
      <c r="G8" s="14" t="s">
        <v>86</v>
      </c>
      <c r="H8" s="14" t="s">
        <v>92</v>
      </c>
      <c r="I8" s="14" t="s">
        <v>99</v>
      </c>
      <c r="J8" s="13" t="s">
        <v>41</v>
      </c>
      <c r="K8" s="14" t="s">
        <v>87</v>
      </c>
      <c r="L8" s="14" t="s">
        <v>96</v>
      </c>
      <c r="M8" s="14" t="s">
        <v>97</v>
      </c>
      <c r="N8" s="14" t="s">
        <v>88</v>
      </c>
      <c r="O8" s="14" t="s">
        <v>89</v>
      </c>
      <c r="P8" s="14" t="s">
        <v>95</v>
      </c>
      <c r="Q8" s="14" t="s">
        <v>98</v>
      </c>
      <c r="R8" s="13" t="s">
        <v>42</v>
      </c>
      <c r="S8" s="14" t="s">
        <v>101</v>
      </c>
      <c r="T8" s="14" t="s">
        <v>94</v>
      </c>
      <c r="U8" s="14" t="s">
        <v>102</v>
      </c>
      <c r="V8" s="14" t="s">
        <v>103</v>
      </c>
      <c r="W8" s="14" t="s">
        <v>104</v>
      </c>
      <c r="X8" s="14" t="s">
        <v>105</v>
      </c>
      <c r="Y8" s="14" t="s">
        <v>106</v>
      </c>
      <c r="Z8" s="13" t="s">
        <v>43</v>
      </c>
    </row>
    <row r="9" spans="1:29" x14ac:dyDescent="0.4">
      <c r="B9" s="13" t="s">
        <v>28</v>
      </c>
      <c r="C9" s="27">
        <v>7.1273331642150799</v>
      </c>
      <c r="D9" s="27">
        <v>7.2726345062255797</v>
      </c>
      <c r="E9" s="15" t="s">
        <v>1</v>
      </c>
      <c r="F9" s="27">
        <f>IF(Table15[[#This Row],[Inclusion Flag]]="Y",(Table15[[#This Row],[Test_Volume]]+Table15[[#This Row],[ReTest_Volume]])/2,"")</f>
        <v>7.1999838352203298</v>
      </c>
      <c r="G9" s="27">
        <f>IF(Table15[[#This Row],[Inclusion Flag]]="Y",(Table15[[#This Row],[ReTest_Volume]]-Table15[[#This Row],[Test_Volume]]),"")</f>
        <v>0.14530134201049982</v>
      </c>
      <c r="H9" s="27">
        <f>IF(Table15[[#This Row],[Inclusion Flag]]="Y",(Table15[[#This Row],[Difference_Volume]]^2)/2,"")</f>
        <v>1.0556239995026121E-2</v>
      </c>
      <c r="I9" s="27">
        <f>IF(Table15[[#This Row],[Inclusion Flag]]="Y",Table15[[#This Row],[Pair_Variance V is sq(Diff)/2]]/(Table15[[#This Row],[Average_Volume]]^2),"")</f>
        <v>2.0363208709470569E-4</v>
      </c>
      <c r="K9" s="27">
        <v>6.4974851608276296</v>
      </c>
      <c r="L9" s="27">
        <v>7.8873209953308097</v>
      </c>
      <c r="M9" s="15" t="s">
        <v>1</v>
      </c>
      <c r="N9" s="27">
        <f>IF(Table15[[#This Row],[Inclusion Flag2]]="Y",(Table15[[#This Row],[Test_Volume2]]+Table15[[#This Row],[ReTest_Volume2]])/2,"")</f>
        <v>7.1924030780792201</v>
      </c>
      <c r="O9" s="27">
        <f>IF(Table15[[#This Row],[Inclusion Flag2]]="Y",Table15[[#This Row],[ReTest_Volume2]]-Table15[[#This Row],[Test_Volume2]],"")</f>
        <v>1.38983583450318</v>
      </c>
      <c r="P9" s="27">
        <f>IF(Table15[[#This Row],[Inclusion Flag2]]="Y",(Table15[[#This Row],[Difference_Volume2]]^2)/2,"")</f>
        <v>0.96582182343457545</v>
      </c>
      <c r="Q9" s="27">
        <f>IF(Table15[[#This Row],[Inclusion Flag2]]="Y",Table15[[#This Row],[Pair_Variance V is sq(Diff)/27]]/(Table15[[#This Row],[Average_Volume2]]^2),"")</f>
        <v>1.8670200329801667E-2</v>
      </c>
      <c r="S9" s="27">
        <v>6.5094876289367596</v>
      </c>
      <c r="T9" s="27">
        <v>8.8014545440673793</v>
      </c>
      <c r="U9" s="15" t="s">
        <v>1</v>
      </c>
      <c r="V9" s="27">
        <f>IF(Table15[[#This Row],[Inclusion Flag3]]="Y",(Table15[[#This Row],[Test_Volume3]]+Table15[[#This Row],[ReTest_Volume3]])/2,"")</f>
        <v>7.6554710865020699</v>
      </c>
      <c r="W9" s="27">
        <f>IF(Table15[[#This Row],[Inclusion Flag3]]="Y",Table15[[#This Row],[ReTest_Volume3]]-Table15[[#This Row],[Test_Volume3]],"")</f>
        <v>2.2919669151306197</v>
      </c>
      <c r="X9" s="27">
        <f>IF(Table15[[#This Row],[Inclusion Flag3]]="Y",(Table15[[#This Row],[Difference_Volume3]]^2)/2,"")</f>
        <v>2.6265561700266846</v>
      </c>
      <c r="Y9" s="27">
        <f>IF(Table15[[#This Row],[Inclusion Flag3]]="Y",Table15[[#This Row],[Pair_Variance V3 is sq(Diff)/2]]/(Table15[[#This Row],[Average_Volume3]]^2),"")</f>
        <v>4.4817007191510431E-2</v>
      </c>
    </row>
    <row r="10" spans="1:29" x14ac:dyDescent="0.4">
      <c r="B10" s="13" t="s">
        <v>28</v>
      </c>
      <c r="C10" s="27">
        <v>7.9947175979614196</v>
      </c>
      <c r="D10" s="27">
        <v>8.6479999999999997</v>
      </c>
      <c r="E10" s="15" t="s">
        <v>1</v>
      </c>
      <c r="F10" s="27">
        <f>IF(Table15[[#This Row],[Inclusion Flag]]="Y",(Table15[[#This Row],[Test_Volume]]+Table15[[#This Row],[ReTest_Volume]])/2,"")</f>
        <v>8.3213587989807092</v>
      </c>
      <c r="G10" s="27">
        <f>IF(Table15[[#This Row],[Inclusion Flag]]="Y",(Table15[[#This Row],[ReTest_Volume]]-Table15[[#This Row],[Test_Volume]]),"")</f>
        <v>0.65328240203858012</v>
      </c>
      <c r="H10" s="27">
        <f>IF(Table15[[#This Row],[Inclusion Flag]]="Y",(Table15[[#This Row],[Difference_Volume]]^2)/2,"")</f>
        <v>0.21338894840664852</v>
      </c>
      <c r="I10" s="27">
        <f>IF(Table15[[#This Row],[Inclusion Flag]]="Y",Table15[[#This Row],[Pair_Variance V is sq(Diff)/2]]/(Table15[[#This Row],[Average_Volume]]^2),"")</f>
        <v>3.0816508140858742E-3</v>
      </c>
      <c r="K10" s="27">
        <v>8.3655509948730398</v>
      </c>
      <c r="L10" s="27">
        <v>8.7875556945800692</v>
      </c>
      <c r="M10" s="15" t="s">
        <v>1</v>
      </c>
      <c r="N10" s="27">
        <f>IF(Table15[[#This Row],[Inclusion Flag2]]="Y",(Table15[[#This Row],[Test_Volume2]]+Table15[[#This Row],[ReTest_Volume2]])/2,"")</f>
        <v>8.5765533447265554</v>
      </c>
      <c r="O10" s="27">
        <f>IF(Table15[[#This Row],[Inclusion Flag2]]="Y",Table15[[#This Row],[ReTest_Volume2]]-Table15[[#This Row],[Test_Volume2]],"")</f>
        <v>0.42200469970702947</v>
      </c>
      <c r="P10" s="27">
        <f>IF(Table15[[#This Row],[Inclusion Flag2]]="Y",(Table15[[#This Row],[Difference_Volume2]]^2)/2,"")</f>
        <v>8.9043983287410061E-2</v>
      </c>
      <c r="Q10" s="27">
        <f>IF(Table15[[#This Row],[Inclusion Flag2]]="Y",Table15[[#This Row],[Pair_Variance V is sq(Diff)/27]]/(Table15[[#This Row],[Average_Volume2]]^2),"")</f>
        <v>1.2105395780213531E-3</v>
      </c>
      <c r="S10" s="27">
        <v>10.418718338012599</v>
      </c>
      <c r="T10" s="27">
        <v>9.70800685882568</v>
      </c>
      <c r="U10" s="15" t="s">
        <v>1</v>
      </c>
      <c r="V10" s="27">
        <f>IF(Table15[[#This Row],[Inclusion Flag3]]="Y",(Table15[[#This Row],[Test_Volume3]]+Table15[[#This Row],[ReTest_Volume3]])/2,"")</f>
        <v>10.06336259841914</v>
      </c>
      <c r="W10" s="27">
        <f>IF(Table15[[#This Row],[Inclusion Flag3]]="Y",Table15[[#This Row],[ReTest_Volume3]]-Table15[[#This Row],[Test_Volume3]],"")</f>
        <v>-0.71071147918691935</v>
      </c>
      <c r="X10" s="27">
        <f>IF(Table15[[#This Row],[Inclusion Flag3]]="Y",(Table15[[#This Row],[Difference_Volume3]]^2)/2,"")</f>
        <v>0.25255540332402943</v>
      </c>
      <c r="Y10" s="27">
        <f>IF(Table15[[#This Row],[Inclusion Flag3]]="Y",Table15[[#This Row],[Pair_Variance V3 is sq(Diff)/2]]/(Table15[[#This Row],[Average_Volume3]]^2),"")</f>
        <v>2.4938505396063441E-3</v>
      </c>
    </row>
    <row r="11" spans="1:29" x14ac:dyDescent="0.4">
      <c r="B11" s="13" t="s">
        <v>28</v>
      </c>
      <c r="C11" s="27">
        <v>9.4692068099975497</v>
      </c>
      <c r="D11" s="27">
        <v>9.6442003250121999</v>
      </c>
      <c r="E11" s="15" t="s">
        <v>1</v>
      </c>
      <c r="F11" s="27">
        <f>IF(Table15[[#This Row],[Inclusion Flag]]="Y",(Table15[[#This Row],[Test_Volume]]+Table15[[#This Row],[ReTest_Volume]])/2,"")</f>
        <v>9.5567035675048757</v>
      </c>
      <c r="G11" s="27">
        <f>IF(Table15[[#This Row],[Inclusion Flag]]="Y",(Table15[[#This Row],[ReTest_Volume]]-Table15[[#This Row],[Test_Volume]]),"")</f>
        <v>0.17499351501465021</v>
      </c>
      <c r="H11" s="27">
        <f>IF(Table15[[#This Row],[Inclusion Flag]]="Y",(Table15[[#This Row],[Difference_Volume]]^2)/2,"")</f>
        <v>1.5311365148591305E-2</v>
      </c>
      <c r="I11" s="27">
        <f>IF(Table15[[#This Row],[Inclusion Flag]]="Y",Table15[[#This Row],[Pair_Variance V is sq(Diff)/2]]/(Table15[[#This Row],[Average_Volume]]^2),"")</f>
        <v>1.6764773236644658E-4</v>
      </c>
      <c r="K11" s="27">
        <v>9.5627050399780202</v>
      </c>
      <c r="L11" s="27">
        <v>9.5153245925903303</v>
      </c>
      <c r="M11" s="15" t="s">
        <v>1</v>
      </c>
      <c r="N11" s="27">
        <f>IF(Table15[[#This Row],[Inclusion Flag2]]="Y",(Table15[[#This Row],[Test_Volume2]]+Table15[[#This Row],[ReTest_Volume2]])/2,"")</f>
        <v>9.5390148162841761</v>
      </c>
      <c r="O11" s="27">
        <f>IF(Table15[[#This Row],[Inclusion Flag2]]="Y",Table15[[#This Row],[ReTest_Volume2]]-Table15[[#This Row],[Test_Volume2]],"")</f>
        <v>-4.7380447387689983E-2</v>
      </c>
      <c r="P11" s="27">
        <f>IF(Table15[[#This Row],[Inclusion Flag2]]="Y",(Table15[[#This Row],[Difference_Volume2]]^2)/2,"")</f>
        <v>1.1224533973288294E-3</v>
      </c>
      <c r="Q11" s="27">
        <f>IF(Table15[[#This Row],[Inclusion Flag2]]="Y",Table15[[#This Row],[Pair_Variance V is sq(Diff)/27]]/(Table15[[#This Row],[Average_Volume2]]^2),"")</f>
        <v>1.2335628226795819E-5</v>
      </c>
      <c r="S11" s="27">
        <v>10.2241411209106</v>
      </c>
      <c r="T11" s="27">
        <v>9.9746017456054599</v>
      </c>
      <c r="U11" s="15" t="s">
        <v>1</v>
      </c>
      <c r="V11" s="27">
        <f>IF(Table15[[#This Row],[Inclusion Flag3]]="Y",(Table15[[#This Row],[Test_Volume3]]+Table15[[#This Row],[ReTest_Volume3]])/2,"")</f>
        <v>10.09937143325803</v>
      </c>
      <c r="W11" s="27">
        <f>IF(Table15[[#This Row],[Inclusion Flag3]]="Y",Table15[[#This Row],[ReTest_Volume3]]-Table15[[#This Row],[Test_Volume3]],"")</f>
        <v>-0.24953937530514025</v>
      </c>
      <c r="X11" s="27">
        <f>IF(Table15[[#This Row],[Inclusion Flag3]]="Y",(Table15[[#This Row],[Difference_Volume3]]^2)/2,"")</f>
        <v>3.1134949913839822E-2</v>
      </c>
      <c r="Y11" s="27">
        <f>IF(Table15[[#This Row],[Inclusion Flag3]]="Y",Table15[[#This Row],[Pair_Variance V3 is sq(Diff)/2]]/(Table15[[#This Row],[Average_Volume3]]^2),"")</f>
        <v>3.0525267720015223E-4</v>
      </c>
    </row>
    <row r="12" spans="1:29" x14ac:dyDescent="0.4">
      <c r="B12" s="13" t="s">
        <v>28</v>
      </c>
      <c r="C12" s="27">
        <v>9.7054796218871999</v>
      </c>
      <c r="D12" s="27">
        <v>9.8785772323608398</v>
      </c>
      <c r="E12" s="15" t="s">
        <v>1</v>
      </c>
      <c r="F12" s="27">
        <f>IF(Table15[[#This Row],[Inclusion Flag]]="Y",(Table15[[#This Row],[Test_Volume]]+Table15[[#This Row],[ReTest_Volume]])/2,"")</f>
        <v>9.7920284271240199</v>
      </c>
      <c r="G12" s="27">
        <f>IF(Table15[[#This Row],[Inclusion Flag]]="Y",(Table15[[#This Row],[ReTest_Volume]]-Table15[[#This Row],[Test_Volume]]),"")</f>
        <v>0.17309761047363992</v>
      </c>
      <c r="H12" s="27">
        <f>IF(Table15[[#This Row],[Inclusion Flag]]="Y",(Table15[[#This Row],[Difference_Volume]]^2)/2,"")</f>
        <v>1.4981391375841988E-2</v>
      </c>
      <c r="I12" s="27">
        <f>IF(Table15[[#This Row],[Inclusion Flag]]="Y",Table15[[#This Row],[Pair_Variance V is sq(Diff)/2]]/(Table15[[#This Row],[Average_Volume]]^2),"")</f>
        <v>1.5624524829861421E-4</v>
      </c>
      <c r="K12" s="27">
        <v>9.8185615539550692</v>
      </c>
      <c r="L12" s="27">
        <v>9.5349092483520508</v>
      </c>
      <c r="M12" s="15" t="s">
        <v>1</v>
      </c>
      <c r="N12" s="27">
        <f>IF(Table15[[#This Row],[Inclusion Flag2]]="Y",(Table15[[#This Row],[Test_Volume2]]+Table15[[#This Row],[ReTest_Volume2]])/2,"")</f>
        <v>9.6767354011535609</v>
      </c>
      <c r="O12" s="27">
        <f>IF(Table15[[#This Row],[Inclusion Flag2]]="Y",Table15[[#This Row],[ReTest_Volume2]]-Table15[[#This Row],[Test_Volume2]],"")</f>
        <v>-0.28365230560301846</v>
      </c>
      <c r="P12" s="27">
        <f>IF(Table15[[#This Row],[Inclusion Flag2]]="Y",(Table15[[#This Row],[Difference_Volume2]]^2)/2,"")</f>
        <v>4.022931523695409E-2</v>
      </c>
      <c r="Q12" s="27">
        <f>IF(Table15[[#This Row],[Inclusion Flag2]]="Y",Table15[[#This Row],[Pair_Variance V is sq(Diff)/27]]/(Table15[[#This Row],[Average_Volume2]]^2),"")</f>
        <v>4.2962041313580516E-4</v>
      </c>
      <c r="S12" s="27">
        <v>11.253883361816399</v>
      </c>
      <c r="T12" s="27">
        <v>11.3587522506713</v>
      </c>
      <c r="U12" s="15" t="s">
        <v>1</v>
      </c>
      <c r="V12" s="27">
        <f>IF(Table15[[#This Row],[Inclusion Flag3]]="Y",(Table15[[#This Row],[Test_Volume3]]+Table15[[#This Row],[ReTest_Volume3]])/2,"")</f>
        <v>11.30631780624385</v>
      </c>
      <c r="W12" s="27">
        <f>IF(Table15[[#This Row],[Inclusion Flag3]]="Y",Table15[[#This Row],[ReTest_Volume3]]-Table15[[#This Row],[Test_Volume3]],"")</f>
        <v>0.10486888885490053</v>
      </c>
      <c r="X12" s="27">
        <f>IF(Table15[[#This Row],[Inclusion Flag3]]="Y",(Table15[[#This Row],[Difference_Volume3]]^2)/2,"")</f>
        <v>5.4987419248307403E-3</v>
      </c>
      <c r="Y12" s="27">
        <f>IF(Table15[[#This Row],[Inclusion Flag3]]="Y",Table15[[#This Row],[Pair_Variance V3 is sq(Diff)/2]]/(Table15[[#This Row],[Average_Volume3]]^2),"")</f>
        <v>4.3015102259002299E-5</v>
      </c>
    </row>
    <row r="13" spans="1:29" x14ac:dyDescent="0.4">
      <c r="B13" s="13" t="s">
        <v>28</v>
      </c>
      <c r="C13" s="27">
        <v>10.0125064849853</v>
      </c>
      <c r="D13" s="27">
        <v>9.89058017730712</v>
      </c>
      <c r="E13" s="15" t="s">
        <v>1</v>
      </c>
      <c r="F13" s="27">
        <f>IF(Table15[[#This Row],[Inclusion Flag]]="Y",(Table15[[#This Row],[Test_Volume]]+Table15[[#This Row],[ReTest_Volume]])/2,"")</f>
        <v>9.95154333114621</v>
      </c>
      <c r="G13" s="27">
        <f>IF(Table15[[#This Row],[Inclusion Flag]]="Y",(Table15[[#This Row],[ReTest_Volume]]-Table15[[#This Row],[Test_Volume]]),"")</f>
        <v>-0.12192630767818002</v>
      </c>
      <c r="H13" s="27">
        <f>IF(Table15[[#This Row],[Inclusion Flag]]="Y",(Table15[[#This Row],[Difference_Volume]]^2)/2,"")</f>
        <v>7.4330122520171104E-3</v>
      </c>
      <c r="I13" s="27">
        <f>IF(Table15[[#This Row],[Inclusion Flag]]="Y",Table15[[#This Row],[Pair_Variance V is sq(Diff)/2]]/(Table15[[#This Row],[Average_Volume]]^2),"")</f>
        <v>7.5055750504104791E-5</v>
      </c>
      <c r="K13" s="27">
        <v>9.6947393417358398</v>
      </c>
      <c r="L13" s="27">
        <v>9.5936603546142507</v>
      </c>
      <c r="M13" s="15" t="s">
        <v>1</v>
      </c>
      <c r="N13" s="27">
        <f>IF(Table15[[#This Row],[Inclusion Flag2]]="Y",(Table15[[#This Row],[Test_Volume2]]+Table15[[#This Row],[ReTest_Volume2]])/2,"")</f>
        <v>9.6441998481750453</v>
      </c>
      <c r="O13" s="27">
        <f>IF(Table15[[#This Row],[Inclusion Flag2]]="Y",Table15[[#This Row],[ReTest_Volume2]]-Table15[[#This Row],[Test_Volume2]],"")</f>
        <v>-0.10107898712158914</v>
      </c>
      <c r="P13" s="27">
        <f>IF(Table15[[#This Row],[Inclusion Flag2]]="Y",(Table15[[#This Row],[Difference_Volume2]]^2)/2,"")</f>
        <v>5.1084808187631912E-3</v>
      </c>
      <c r="Q13" s="27">
        <f>IF(Table15[[#This Row],[Inclusion Flag2]]="Y",Table15[[#This Row],[Pair_Variance V is sq(Diff)/27]]/(Table15[[#This Row],[Average_Volume2]]^2),"")</f>
        <v>5.4923646648009047E-5</v>
      </c>
      <c r="S13" s="27">
        <v>11.2759943008422</v>
      </c>
      <c r="T13" s="27">
        <v>11.529954910278301</v>
      </c>
      <c r="U13" s="15" t="s">
        <v>1</v>
      </c>
      <c r="V13" s="27">
        <f>IF(Table15[[#This Row],[Inclusion Flag3]]="Y",(Table15[[#This Row],[Test_Volume3]]+Table15[[#This Row],[ReTest_Volume3]])/2,"")</f>
        <v>11.402974605560249</v>
      </c>
      <c r="W13" s="27">
        <f>IF(Table15[[#This Row],[Inclusion Flag3]]="Y",Table15[[#This Row],[ReTest_Volume3]]-Table15[[#This Row],[Test_Volume3]],"")</f>
        <v>0.25396060943610088</v>
      </c>
      <c r="X13" s="27">
        <f>IF(Table15[[#This Row],[Inclusion Flag3]]="Y",(Table15[[#This Row],[Difference_Volume3]]^2)/2,"")</f>
        <v>3.2247995572577889E-2</v>
      </c>
      <c r="Y13" s="27">
        <f>IF(Table15[[#This Row],[Inclusion Flag3]]="Y",Table15[[#This Row],[Pair_Variance V3 is sq(Diff)/2]]/(Table15[[#This Row],[Average_Volume3]]^2),"")</f>
        <v>2.4800841180327499E-4</v>
      </c>
    </row>
    <row r="14" spans="1:29" x14ac:dyDescent="0.4">
      <c r="B14" s="13" t="s">
        <v>29</v>
      </c>
      <c r="C14" s="27">
        <v>7.52343654632568</v>
      </c>
      <c r="D14" s="27">
        <v>7.8115119934081996</v>
      </c>
      <c r="E14" s="15" t="s">
        <v>1</v>
      </c>
      <c r="F14" s="27">
        <f>IF(Table15[[#This Row],[Inclusion Flag]]="Y",(Table15[[#This Row],[Test_Volume]]+Table15[[#This Row],[ReTest_Volume]])/2,"")</f>
        <v>7.6674742698669398</v>
      </c>
      <c r="G14" s="27">
        <f>IF(Table15[[#This Row],[Inclusion Flag]]="Y",(Table15[[#This Row],[ReTest_Volume]]-Table15[[#This Row],[Test_Volume]]),"")</f>
        <v>0.28807544708251953</v>
      </c>
      <c r="H14" s="27">
        <f>IF(Table15[[#This Row],[Inclusion Flag]]="Y",(Table15[[#This Row],[Difference_Volume]]^2)/2,"")</f>
        <v>4.1493731605896755E-2</v>
      </c>
      <c r="I14" s="27">
        <f>IF(Table15[[#This Row],[Inclusion Flag]]="Y",Table15[[#This Row],[Pair_Variance V is sq(Diff)/2]]/(Table15[[#This Row],[Average_Volume]]^2),"")</f>
        <v>7.0579379986069875E-4</v>
      </c>
      <c r="K14" s="27">
        <v>7.5733437538146902</v>
      </c>
      <c r="L14" s="27">
        <v>7.5202779769897399</v>
      </c>
      <c r="M14" s="15" t="s">
        <v>1</v>
      </c>
      <c r="N14" s="27">
        <f>IF(Table15[[#This Row],[Inclusion Flag2]]="Y",(Table15[[#This Row],[Test_Volume2]]+Table15[[#This Row],[ReTest_Volume2]])/2,"")</f>
        <v>7.5468108654022146</v>
      </c>
      <c r="O14" s="27">
        <f>IF(Table15[[#This Row],[Inclusion Flag2]]="Y",Table15[[#This Row],[ReTest_Volume2]]-Table15[[#This Row],[Test_Volume2]],"")</f>
        <v>-5.3065776824950284E-2</v>
      </c>
      <c r="P14" s="27">
        <f>IF(Table15[[#This Row],[Inclusion Flag2]]="Y",(Table15[[#This Row],[Difference_Volume2]]^2)/2,"")</f>
        <v>1.4079883350177154E-3</v>
      </c>
      <c r="Q14" s="27">
        <f>IF(Table15[[#This Row],[Inclusion Flag2]]="Y",Table15[[#This Row],[Pair_Variance V is sq(Diff)/27]]/(Table15[[#This Row],[Average_Volume2]]^2),"")</f>
        <v>2.4721346661753979E-5</v>
      </c>
      <c r="S14" s="27">
        <v>8.1772909164428693</v>
      </c>
      <c r="T14" s="27">
        <v>8.5860290527343697</v>
      </c>
      <c r="U14" s="15" t="s">
        <v>1</v>
      </c>
      <c r="V14" s="27">
        <f>IF(Table15[[#This Row],[Inclusion Flag3]]="Y",(Table15[[#This Row],[Test_Volume3]]+Table15[[#This Row],[ReTest_Volume3]])/2,"")</f>
        <v>8.3816599845886195</v>
      </c>
      <c r="W14" s="27">
        <f>IF(Table15[[#This Row],[Inclusion Flag3]]="Y",Table15[[#This Row],[ReTest_Volume3]]-Table15[[#This Row],[Test_Volume3]],"")</f>
        <v>0.40873813629150035</v>
      </c>
      <c r="X14" s="27">
        <f>IF(Table15[[#This Row],[Inclusion Flag3]]="Y",(Table15[[#This Row],[Difference_Volume3]]^2)/2,"")</f>
        <v>8.3533432029524554E-2</v>
      </c>
      <c r="Y14" s="27">
        <f>IF(Table15[[#This Row],[Inclusion Flag3]]="Y",Table15[[#This Row],[Pair_Variance V3 is sq(Diff)/2]]/(Table15[[#This Row],[Average_Volume3]]^2),"")</f>
        <v>1.1890503553863936E-3</v>
      </c>
    </row>
    <row r="15" spans="1:29" x14ac:dyDescent="0.4">
      <c r="B15" s="13" t="s">
        <v>29</v>
      </c>
      <c r="C15" s="27">
        <v>7.3964557647704998</v>
      </c>
      <c r="D15" s="27">
        <v>7.2113552093505797</v>
      </c>
      <c r="E15" s="15" t="s">
        <v>1</v>
      </c>
      <c r="F15" s="27">
        <f>IF(Table15[[#This Row],[Inclusion Flag]]="Y",(Table15[[#This Row],[Test_Volume]]+Table15[[#This Row],[ReTest_Volume]])/2,"")</f>
        <v>7.3039054870605398</v>
      </c>
      <c r="G15" s="27">
        <f>IF(Table15[[#This Row],[Inclusion Flag]]="Y",(Table15[[#This Row],[ReTest_Volume]]-Table15[[#This Row],[Test_Volume]]),"")</f>
        <v>-0.1851005554199201</v>
      </c>
      <c r="H15" s="27">
        <f>IF(Table15[[#This Row],[Inclusion Flag]]="Y",(Table15[[#This Row],[Difference_Volume]]^2)/2,"")</f>
        <v>1.7131107808381455E-2</v>
      </c>
      <c r="I15" s="27">
        <f>IF(Table15[[#This Row],[Inclusion Flag]]="Y",Table15[[#This Row],[Pair_Variance V is sq(Diff)/2]]/(Table15[[#This Row],[Average_Volume]]^2),"")</f>
        <v>3.2112576999864369E-4</v>
      </c>
      <c r="K15" s="27">
        <v>7.8538384437561</v>
      </c>
      <c r="L15" s="27">
        <v>6.9706606864929199</v>
      </c>
      <c r="M15" s="15" t="s">
        <v>1</v>
      </c>
      <c r="N15" s="27">
        <f>IF(Table15[[#This Row],[Inclusion Flag2]]="Y",(Table15[[#This Row],[Test_Volume2]]+Table15[[#This Row],[ReTest_Volume2]])/2,"")</f>
        <v>7.4122495651245099</v>
      </c>
      <c r="O15" s="27">
        <f>IF(Table15[[#This Row],[Inclusion Flag2]]="Y",Table15[[#This Row],[ReTest_Volume2]]-Table15[[#This Row],[Test_Volume2]],"")</f>
        <v>-0.88317775726318004</v>
      </c>
      <c r="P15" s="27">
        <f>IF(Table15[[#This Row],[Inclusion Flag2]]="Y",(Table15[[#This Row],[Difference_Volume2]]^2)/2,"")</f>
        <v>0.39000147546221026</v>
      </c>
      <c r="Q15" s="27">
        <f>IF(Table15[[#This Row],[Inclusion Flag2]]="Y",Table15[[#This Row],[Pair_Variance V is sq(Diff)/27]]/(Table15[[#This Row],[Average_Volume2]]^2),"")</f>
        <v>7.0984934103705578E-3</v>
      </c>
      <c r="S15" s="27">
        <v>8.8677873611450195</v>
      </c>
      <c r="T15" s="27">
        <v>8.1564435958862305</v>
      </c>
      <c r="U15" s="15" t="s">
        <v>1</v>
      </c>
      <c r="V15" s="27">
        <f>IF(Table15[[#This Row],[Inclusion Flag3]]="Y",(Table15[[#This Row],[Test_Volume3]]+Table15[[#This Row],[ReTest_Volume3]])/2,"")</f>
        <v>8.512115478515625</v>
      </c>
      <c r="W15" s="27">
        <f>IF(Table15[[#This Row],[Inclusion Flag3]]="Y",Table15[[#This Row],[ReTest_Volume3]]-Table15[[#This Row],[Test_Volume3]],"")</f>
        <v>-0.71134376525878906</v>
      </c>
      <c r="X15" s="27">
        <f>IF(Table15[[#This Row],[Inclusion Flag3]]="Y",(Table15[[#This Row],[Difference_Volume3]]^2)/2,"")</f>
        <v>0.2530049761862756</v>
      </c>
      <c r="Y15" s="27">
        <f>IF(Table15[[#This Row],[Inclusion Flag3]]="Y",Table15[[#This Row],[Pair_Variance V3 is sq(Diff)/2]]/(Table15[[#This Row],[Average_Volume3]]^2),"")</f>
        <v>3.4918376996373492E-3</v>
      </c>
      <c r="AC15" s="13" t="s">
        <v>126</v>
      </c>
    </row>
    <row r="16" spans="1:29" x14ac:dyDescent="0.4">
      <c r="B16" s="13" t="s">
        <v>29</v>
      </c>
      <c r="C16" s="27">
        <v>7.4198307991027797</v>
      </c>
      <c r="D16" s="27">
        <v>7.5651316642761204</v>
      </c>
      <c r="E16" s="15" t="s">
        <v>1</v>
      </c>
      <c r="F16" s="27">
        <f>IF(Table15[[#This Row],[Inclusion Flag]]="Y",(Table15[[#This Row],[Test_Volume]]+Table15[[#This Row],[ReTest_Volume]])/2,"")</f>
        <v>7.4924812316894496</v>
      </c>
      <c r="G16" s="27">
        <f>IF(Table15[[#This Row],[Inclusion Flag]]="Y",(Table15[[#This Row],[ReTest_Volume]]-Table15[[#This Row],[Test_Volume]]),"")</f>
        <v>0.14530086517334073</v>
      </c>
      <c r="H16" s="27">
        <f>IF(Table15[[#This Row],[Inclusion Flag]]="Y",(Table15[[#This Row],[Difference_Volume]]^2)/2,"")</f>
        <v>1.055617071006067E-2</v>
      </c>
      <c r="I16" s="27">
        <f>IF(Table15[[#This Row],[Inclusion Flag]]="Y",Table15[[#This Row],[Pair_Variance V is sq(Diff)/2]]/(Table15[[#This Row],[Average_Volume]]^2),"")</f>
        <v>1.8804209339878466E-4</v>
      </c>
      <c r="K16" s="27">
        <v>6.9965624809265101</v>
      </c>
      <c r="L16" s="27">
        <v>7.2738976478576598</v>
      </c>
      <c r="M16" s="15" t="s">
        <v>1</v>
      </c>
      <c r="N16" s="27">
        <f>IF(Table15[[#This Row],[Inclusion Flag2]]="Y",(Table15[[#This Row],[Test_Volume2]]+Table15[[#This Row],[ReTest_Volume2]])/2,"")</f>
        <v>7.1352300643920845</v>
      </c>
      <c r="O16" s="27">
        <f>IF(Table15[[#This Row],[Inclusion Flag2]]="Y",Table15[[#This Row],[ReTest_Volume2]]-Table15[[#This Row],[Test_Volume2]],"")</f>
        <v>0.27733516693114968</v>
      </c>
      <c r="P16" s="27">
        <f>IF(Table15[[#This Row],[Inclusion Flag2]]="Y",(Table15[[#This Row],[Difference_Volume2]]^2)/2,"")</f>
        <v>3.8457397408364333E-2</v>
      </c>
      <c r="Q16" s="27">
        <f>IF(Table15[[#This Row],[Inclusion Flag2]]="Y",Table15[[#This Row],[Pair_Variance V is sq(Diff)/27]]/(Table15[[#This Row],[Average_Volume2]]^2),"")</f>
        <v>7.5537729807816176E-4</v>
      </c>
      <c r="S16" s="27">
        <v>8.7054281234741193</v>
      </c>
      <c r="T16" s="27">
        <v>8.9631805419921804</v>
      </c>
      <c r="U16" s="15" t="s">
        <v>1</v>
      </c>
      <c r="V16" s="27">
        <f>IF(Table15[[#This Row],[Inclusion Flag3]]="Y",(Table15[[#This Row],[Test_Volume3]]+Table15[[#This Row],[ReTest_Volume3]])/2,"")</f>
        <v>8.8343043327331507</v>
      </c>
      <c r="W16" s="27">
        <f>IF(Table15[[#This Row],[Inclusion Flag3]]="Y",Table15[[#This Row],[ReTest_Volume3]]-Table15[[#This Row],[Test_Volume3]],"")</f>
        <v>0.25775241851806108</v>
      </c>
      <c r="X16" s="27">
        <f>IF(Table15[[#This Row],[Inclusion Flag3]]="Y",(Table15[[#This Row],[Difference_Volume3]]^2)/2,"")</f>
        <v>3.3218154625954857E-2</v>
      </c>
      <c r="Y16" s="27">
        <f>IF(Table15[[#This Row],[Inclusion Flag3]]="Y",Table15[[#This Row],[Pair_Variance V3 is sq(Diff)/2]]/(Table15[[#This Row],[Average_Volume3]]^2),"")</f>
        <v>4.2562858766891152E-4</v>
      </c>
      <c r="AC16" s="13" t="s">
        <v>127</v>
      </c>
    </row>
    <row r="17" spans="2:30" ht="26.15" x14ac:dyDescent="0.7">
      <c r="B17" s="13" t="s">
        <v>29</v>
      </c>
      <c r="C17" s="27">
        <v>7.7736072540283203</v>
      </c>
      <c r="D17" s="27">
        <v>7.6668419837951598</v>
      </c>
      <c r="E17" s="15" t="s">
        <v>1</v>
      </c>
      <c r="F17" s="27">
        <f>IF(Table15[[#This Row],[Inclusion Flag]]="Y",(Table15[[#This Row],[Test_Volume]]+Table15[[#This Row],[ReTest_Volume]])/2,"")</f>
        <v>7.7202246189117396</v>
      </c>
      <c r="G17" s="27">
        <f>IF(Table15[[#This Row],[Inclusion Flag]]="Y",(Table15[[#This Row],[ReTest_Volume]]-Table15[[#This Row],[Test_Volume]]),"")</f>
        <v>-0.10676527023316051</v>
      </c>
      <c r="H17" s="27">
        <f>IF(Table15[[#This Row],[Inclusion Flag]]="Y",(Table15[[#This Row],[Difference_Volume]]^2)/2,"")</f>
        <v>5.699411463979895E-3</v>
      </c>
      <c r="I17" s="27">
        <f>IF(Table15[[#This Row],[Inclusion Flag]]="Y",Table15[[#This Row],[Pair_Variance V is sq(Diff)/2]]/(Table15[[#This Row],[Average_Volume]]^2),"")</f>
        <v>9.562471176344799E-5</v>
      </c>
      <c r="K17" s="27">
        <v>7.4457316398620597</v>
      </c>
      <c r="L17" s="27">
        <v>7.6125125885009703</v>
      </c>
      <c r="M17" s="15" t="s">
        <v>1</v>
      </c>
      <c r="N17" s="27">
        <f>IF(Table15[[#This Row],[Inclusion Flag2]]="Y",(Table15[[#This Row],[Test_Volume2]]+Table15[[#This Row],[ReTest_Volume2]])/2,"")</f>
        <v>7.529122114181515</v>
      </c>
      <c r="O17" s="27">
        <f>IF(Table15[[#This Row],[Inclusion Flag2]]="Y",Table15[[#This Row],[ReTest_Volume2]]-Table15[[#This Row],[Test_Volume2]],"")</f>
        <v>0.16678094863891069</v>
      </c>
      <c r="P17" s="27">
        <f>IF(Table15[[#This Row],[Inclusion Flag2]]="Y",(Table15[[#This Row],[Difference_Volume2]]^2)/2,"")</f>
        <v>1.3907942414447483E-2</v>
      </c>
      <c r="Q17" s="27">
        <f>IF(Table15[[#This Row],[Inclusion Flag2]]="Y",Table15[[#This Row],[Pair_Variance V is sq(Diff)/27]]/(Table15[[#This Row],[Average_Volume2]]^2),"")</f>
        <v>2.4534329965522714E-4</v>
      </c>
      <c r="S17" s="36">
        <v>8.8741044998168892</v>
      </c>
      <c r="T17" s="36">
        <v>8.8930568695068306</v>
      </c>
      <c r="U17" s="37" t="s">
        <v>1</v>
      </c>
      <c r="V17" s="38">
        <f>IF(Table15[[#This Row],[Inclusion Flag3]]="Y",(Table15[[#This Row],[Test_Volume3]]+Table15[[#This Row],[ReTest_Volume3]])/2,"")</f>
        <v>8.8835806846618599</v>
      </c>
      <c r="W17" s="39">
        <f>IF(Table15[[#This Row],[Inclusion Flag3]]="Y",Table15[[#This Row],[ReTest_Volume3]]-Table15[[#This Row],[Test_Volume3]],"")</f>
        <v>1.8952369689941406E-2</v>
      </c>
      <c r="X17" s="27">
        <f>IF(Table15[[#This Row],[Inclusion Flag3]]="Y",(Table15[[#This Row],[Difference_Volume3]]^2)/2,"")</f>
        <v>1.7959615843210486E-4</v>
      </c>
      <c r="Y17" s="27">
        <f>IF(Table15[[#This Row],[Inclusion Flag3]]="Y",Table15[[#This Row],[Pair_Variance V3 is sq(Diff)/2]]/(Table15[[#This Row],[Average_Volume3]]^2),"")</f>
        <v>2.2757310787949171E-6</v>
      </c>
      <c r="AB17" s="39">
        <v>8.8741044998168892</v>
      </c>
      <c r="AC17" s="39">
        <v>8.8930568695068306</v>
      </c>
      <c r="AD17" s="39">
        <f>AB17-AC17</f>
        <v>-1.8952369689941406E-2</v>
      </c>
    </row>
    <row r="18" spans="2:30" x14ac:dyDescent="0.4">
      <c r="B18" s="13" t="s">
        <v>30</v>
      </c>
      <c r="C18" s="27">
        <v>8.1033773422241193</v>
      </c>
      <c r="D18" s="27">
        <v>8.1671829223632795</v>
      </c>
      <c r="E18" s="15" t="s">
        <v>1</v>
      </c>
      <c r="F18" s="27">
        <f>IF(Table15[[#This Row],[Inclusion Flag]]="Y",(Table15[[#This Row],[Test_Volume]]+Table15[[#This Row],[ReTest_Volume]])/2,"")</f>
        <v>8.1352801322936994</v>
      </c>
      <c r="G18" s="27">
        <f>IF(Table15[[#This Row],[Inclusion Flag]]="Y",(Table15[[#This Row],[ReTest_Volume]]-Table15[[#This Row],[Test_Volume]]),"")</f>
        <v>6.3805580139160156E-2</v>
      </c>
      <c r="H18" s="27">
        <f>IF(Table15[[#This Row],[Inclusion Flag]]="Y",(Table15[[#This Row],[Difference_Volume]]^2)/2,"")</f>
        <v>2.0355760284473945E-3</v>
      </c>
      <c r="I18" s="27">
        <f>IF(Table15[[#This Row],[Inclusion Flag]]="Y",Table15[[#This Row],[Pair_Variance V is sq(Diff)/2]]/(Table15[[#This Row],[Average_Volume]]^2),"")</f>
        <v>3.0756881795807998E-5</v>
      </c>
      <c r="K18" s="27">
        <v>8.6169853210449201</v>
      </c>
      <c r="L18" s="27">
        <v>7.9694476127624503</v>
      </c>
      <c r="M18" s="15" t="s">
        <v>1</v>
      </c>
      <c r="N18" s="27">
        <f>IF(Table15[[#This Row],[Inclusion Flag2]]="Y",(Table15[[#This Row],[Test_Volume2]]+Table15[[#This Row],[ReTest_Volume2]])/2,"")</f>
        <v>8.2932164669036847</v>
      </c>
      <c r="O18" s="27">
        <f>IF(Table15[[#This Row],[Inclusion Flag2]]="Y",Table15[[#This Row],[ReTest_Volume2]]-Table15[[#This Row],[Test_Volume2]],"")</f>
        <v>-0.64753770828246981</v>
      </c>
      <c r="P18" s="27">
        <f>IF(Table15[[#This Row],[Inclusion Flag2]]="Y",(Table15[[#This Row],[Difference_Volume2]]^2)/2,"")</f>
        <v>0.20965254182385648</v>
      </c>
      <c r="Q18" s="27">
        <f>IF(Table15[[#This Row],[Inclusion Flag2]]="Y",Table15[[#This Row],[Pair_Variance V is sq(Diff)/27]]/(Table15[[#This Row],[Average_Volume2]]^2),"")</f>
        <v>3.0482748958619416E-3</v>
      </c>
      <c r="S18" s="27">
        <v>9.6429367065429599</v>
      </c>
      <c r="T18" s="27">
        <v>10.065573692321699</v>
      </c>
      <c r="U18" s="15" t="s">
        <v>1</v>
      </c>
      <c r="V18" s="27">
        <f>IF(Table15[[#This Row],[Inclusion Flag3]]="Y",(Table15[[#This Row],[Test_Volume3]]+Table15[[#This Row],[ReTest_Volume3]])/2,"")</f>
        <v>9.8542551994323304</v>
      </c>
      <c r="W18" s="27">
        <f>IF(Table15[[#This Row],[Inclusion Flag3]]="Y",Table15[[#This Row],[ReTest_Volume3]]-Table15[[#This Row],[Test_Volume3]],"")</f>
        <v>0.42263698577873932</v>
      </c>
      <c r="X18" s="27">
        <f>IF(Table15[[#This Row],[Inclusion Flag3]]="Y",(Table15[[#This Row],[Difference_Volume3]]^2)/2,"")</f>
        <v>8.9311010874069147E-2</v>
      </c>
      <c r="Y18" s="27">
        <f>IF(Table15[[#This Row],[Inclusion Flag3]]="Y",Table15[[#This Row],[Pair_Variance V3 is sq(Diff)/2]]/(Table15[[#This Row],[Average_Volume3]]^2),"")</f>
        <v>9.197237356788695E-4</v>
      </c>
    </row>
    <row r="19" spans="2:30" x14ac:dyDescent="0.4">
      <c r="B19" s="13" t="s">
        <v>31</v>
      </c>
      <c r="C19" s="27">
        <v>6.9043273925781197</v>
      </c>
      <c r="D19" s="27">
        <v>6.70216941833496</v>
      </c>
      <c r="E19" s="15" t="s">
        <v>1</v>
      </c>
      <c r="F19" s="27">
        <f>IF(Table15[[#This Row],[Inclusion Flag]]="Y",(Table15[[#This Row],[Test_Volume]]+Table15[[#This Row],[ReTest_Volume]])/2,"")</f>
        <v>6.8032484054565394</v>
      </c>
      <c r="G19" s="27">
        <f>IF(Table15[[#This Row],[Inclusion Flag]]="Y",(Table15[[#This Row],[ReTest_Volume]]-Table15[[#This Row],[Test_Volume]]),"")</f>
        <v>-0.20215797424315962</v>
      </c>
      <c r="H19" s="27">
        <f>IF(Table15[[#This Row],[Inclusion Flag]]="Y",(Table15[[#This Row],[Difference_Volume]]^2)/2,"")</f>
        <v>2.0433923275048994E-2</v>
      </c>
      <c r="I19" s="27">
        <f>IF(Table15[[#This Row],[Inclusion Flag]]="Y",Table15[[#This Row],[Pair_Variance V is sq(Diff)/2]]/(Table15[[#This Row],[Average_Volume]]^2),"")</f>
        <v>4.4148820095033404E-4</v>
      </c>
      <c r="K19" s="27">
        <v>6.5884556770324698</v>
      </c>
      <c r="L19" s="27">
        <v>6.6895346641540501</v>
      </c>
      <c r="M19" s="15" t="s">
        <v>1</v>
      </c>
      <c r="N19" s="27">
        <f>IF(Table15[[#This Row],[Inclusion Flag2]]="Y",(Table15[[#This Row],[Test_Volume2]]+Table15[[#This Row],[ReTest_Volume2]])/2,"")</f>
        <v>6.6389951705932599</v>
      </c>
      <c r="O19" s="27">
        <f>IF(Table15[[#This Row],[Inclusion Flag2]]="Y",Table15[[#This Row],[ReTest_Volume2]]-Table15[[#This Row],[Test_Volume2]],"")</f>
        <v>0.10107898712158025</v>
      </c>
      <c r="P19" s="27">
        <f>IF(Table15[[#This Row],[Inclusion Flag2]]="Y",(Table15[[#This Row],[Difference_Volume2]]^2)/2,"")</f>
        <v>5.1084808187622935E-3</v>
      </c>
      <c r="Q19" s="27">
        <f>IF(Table15[[#This Row],[Inclusion Flag2]]="Y",Table15[[#This Row],[Pair_Variance V is sq(Diff)/27]]/(Table15[[#This Row],[Average_Volume2]]^2),"")</f>
        <v>1.1590096757152717E-4</v>
      </c>
      <c r="S19" s="27">
        <v>7.8633146286010698</v>
      </c>
      <c r="T19" s="27">
        <v>8.2739477157592702</v>
      </c>
      <c r="U19" s="15" t="s">
        <v>1</v>
      </c>
      <c r="V19" s="27">
        <f>IF(Table15[[#This Row],[Inclusion Flag3]]="Y",(Table15[[#This Row],[Test_Volume3]]+Table15[[#This Row],[ReTest_Volume3]])/2,"")</f>
        <v>8.0686311721801705</v>
      </c>
      <c r="W19" s="27">
        <f>IF(Table15[[#This Row],[Inclusion Flag3]]="Y",Table15[[#This Row],[ReTest_Volume3]]-Table15[[#This Row],[Test_Volume3]],"")</f>
        <v>0.41063308715820046</v>
      </c>
      <c r="X19" s="27">
        <f>IF(Table15[[#This Row],[Inclusion Flag3]]="Y",(Table15[[#This Row],[Difference_Volume3]]^2)/2,"")</f>
        <v>8.4309766134537126E-2</v>
      </c>
      <c r="Y19" s="27">
        <f>IF(Table15[[#This Row],[Inclusion Flag3]]="Y",Table15[[#This Row],[Pair_Variance V3 is sq(Diff)/2]]/(Table15[[#This Row],[Average_Volume3]]^2),"")</f>
        <v>1.2950250141129836E-3</v>
      </c>
    </row>
    <row r="20" spans="2:30" ht="28.3" x14ac:dyDescent="0.75">
      <c r="B20" s="13" t="s">
        <v>32</v>
      </c>
      <c r="C20" s="27">
        <v>5.2719016075134197</v>
      </c>
      <c r="D20" s="27">
        <v>5.7084364891052202</v>
      </c>
      <c r="E20" s="15" t="s">
        <v>1</v>
      </c>
      <c r="F20" s="27">
        <f>IF(Table15[[#This Row],[Inclusion Flag]]="Y",(Table15[[#This Row],[Test_Volume]]+Table15[[#This Row],[ReTest_Volume]])/2,"")</f>
        <v>5.49016904830932</v>
      </c>
      <c r="G20" s="27">
        <f>IF(Table15[[#This Row],[Inclusion Flag]]="Y",(Table15[[#This Row],[ReTest_Volume]]-Table15[[#This Row],[Test_Volume]]),"")</f>
        <v>0.43653488159180043</v>
      </c>
      <c r="H20" s="27">
        <f>IF(Table15[[#This Row],[Inclusion Flag]]="Y",(Table15[[#This Row],[Difference_Volume]]^2)/2,"")</f>
        <v>9.5281351423183613E-2</v>
      </c>
      <c r="I20" s="27">
        <f>IF(Table15[[#This Row],[Inclusion Flag]]="Y",Table15[[#This Row],[Pair_Variance V is sq(Diff)/2]]/(Table15[[#This Row],[Average_Volume]]^2),"")</f>
        <v>3.161087185493397E-3</v>
      </c>
      <c r="K20" s="27">
        <v>5.7115955352783203</v>
      </c>
      <c r="L20" s="27">
        <v>5.7368650436401296</v>
      </c>
      <c r="M20" s="15" t="s">
        <v>1</v>
      </c>
      <c r="N20" s="27">
        <f>IF(Table15[[#This Row],[Inclusion Flag2]]="Y",(Table15[[#This Row],[Test_Volume2]]+Table15[[#This Row],[ReTest_Volume2]])/2,"")</f>
        <v>5.724230289459225</v>
      </c>
      <c r="O20" s="27">
        <f>IF(Table15[[#This Row],[Inclusion Flag2]]="Y",Table15[[#This Row],[ReTest_Volume2]]-Table15[[#This Row],[Test_Volume2]],"")</f>
        <v>2.5269508361809301E-2</v>
      </c>
      <c r="P20" s="27">
        <f>IF(Table15[[#This Row],[Inclusion Flag2]]="Y",(Table15[[#This Row],[Difference_Volume2]]^2)/2,"")</f>
        <v>3.1927402642377509E-4</v>
      </c>
      <c r="Q20" s="27">
        <f>IF(Table15[[#This Row],[Inclusion Flag2]]="Y",Table15[[#This Row],[Pair_Variance V is sq(Diff)/27]]/(Table15[[#This Row],[Average_Volume2]]^2),"")</f>
        <v>9.7438231848845658E-6</v>
      </c>
      <c r="S20" s="27">
        <v>6.2542629241943297</v>
      </c>
      <c r="T20" s="27">
        <v>7.2410473823547301</v>
      </c>
      <c r="U20" s="15" t="s">
        <v>1</v>
      </c>
      <c r="V20" s="27">
        <f>IF(Table15[[#This Row],[Inclusion Flag3]]="Y",(Table15[[#This Row],[Test_Volume3]]+Table15[[#This Row],[ReTest_Volume3]])/2,"")</f>
        <v>6.7476551532745299</v>
      </c>
      <c r="W20" s="27">
        <f>IF(Table15[[#This Row],[Inclusion Flag3]]="Y",Table15[[#This Row],[ReTest_Volume3]]-Table15[[#This Row],[Test_Volume3]],"")</f>
        <v>0.98678445816040039</v>
      </c>
      <c r="X20" s="27">
        <f>IF(Table15[[#This Row],[Inclusion Flag3]]="Y",(Table15[[#This Row],[Difference_Volume3]]^2)/2,"")</f>
        <v>0.48687178343345749</v>
      </c>
      <c r="Y20" s="27">
        <f>IF(Table15[[#This Row],[Inclusion Flag3]]="Y",Table15[[#This Row],[Pair_Variance V3 is sq(Diff)/2]]/(Table15[[#This Row],[Average_Volume3]]^2),"")</f>
        <v>1.0693228496975848E-2</v>
      </c>
      <c r="AB20" s="40">
        <v>8.7888196000000001</v>
      </c>
      <c r="AC20" s="40">
        <v>8.9783426000000013</v>
      </c>
      <c r="AD20" s="41">
        <v>0.18952300000000122</v>
      </c>
    </row>
    <row r="21" spans="2:30" x14ac:dyDescent="0.4">
      <c r="B21" s="13" t="s">
        <v>33</v>
      </c>
      <c r="C21" s="27">
        <v>5.3173871040344203</v>
      </c>
      <c r="D21" s="27">
        <v>5.3180189132690403</v>
      </c>
      <c r="E21" s="15" t="s">
        <v>1</v>
      </c>
      <c r="F21" s="27">
        <f>IF(Table15[[#This Row],[Inclusion Flag]]="Y",(Table15[[#This Row],[Test_Volume]]+Table15[[#This Row],[ReTest_Volume]])/2,"")</f>
        <v>5.3177030086517298</v>
      </c>
      <c r="G21" s="27">
        <f>IF(Table15[[#This Row],[Inclusion Flag]]="Y",(Table15[[#This Row],[ReTest_Volume]]-Table15[[#This Row],[Test_Volume]]),"")</f>
        <v>6.318092346200288E-4</v>
      </c>
      <c r="H21" s="27">
        <f>IF(Table15[[#This Row],[Inclusion Flag]]="Y",(Table15[[#This Row],[Difference_Volume]]^2)/2,"")</f>
        <v>1.995914544755733E-7</v>
      </c>
      <c r="I21" s="27">
        <f>IF(Table15[[#This Row],[Inclusion Flag]]="Y",Table15[[#This Row],[Pair_Variance V is sq(Diff)/2]]/(Table15[[#This Row],[Average_Volume]]^2),"")</f>
        <v>7.0581971666360681E-9</v>
      </c>
      <c r="K21" s="27">
        <v>5.9958801269531197</v>
      </c>
      <c r="L21" s="27">
        <v>6.61309337615966</v>
      </c>
      <c r="M21" s="15" t="s">
        <v>1</v>
      </c>
      <c r="N21" s="27">
        <f>IF(Table15[[#This Row],[Inclusion Flag2]]="Y",(Table15[[#This Row],[Test_Volume2]]+Table15[[#This Row],[ReTest_Volume2]])/2,"")</f>
        <v>6.3044867515563894</v>
      </c>
      <c r="O21" s="27">
        <f>IF(Table15[[#This Row],[Inclusion Flag2]]="Y",Table15[[#This Row],[ReTest_Volume2]]-Table15[[#This Row],[Test_Volume2]],"")</f>
        <v>0.6172132492065403</v>
      </c>
      <c r="P21" s="27">
        <f>IF(Table15[[#This Row],[Inclusion Flag2]]="Y",(Table15[[#This Row],[Difference_Volume2]]^2)/2,"")</f>
        <v>0.19047609749804742</v>
      </c>
      <c r="Q21" s="27">
        <f>IF(Table15[[#This Row],[Inclusion Flag2]]="Y",Table15[[#This Row],[Pair_Variance V is sq(Diff)/27]]/(Table15[[#This Row],[Average_Volume2]]^2),"")</f>
        <v>4.7922670561383806E-3</v>
      </c>
      <c r="S21" s="27">
        <v>6.4753737449645996</v>
      </c>
      <c r="T21" s="27">
        <v>7.8108797073364196</v>
      </c>
      <c r="U21" s="15" t="s">
        <v>1</v>
      </c>
      <c r="V21" s="27">
        <f>IF(Table15[[#This Row],[Inclusion Flag3]]="Y",(Table15[[#This Row],[Test_Volume3]]+Table15[[#This Row],[ReTest_Volume3]])/2,"")</f>
        <v>7.1431267261505091</v>
      </c>
      <c r="W21" s="27">
        <f>IF(Table15[[#This Row],[Inclusion Flag3]]="Y",Table15[[#This Row],[ReTest_Volume3]]-Table15[[#This Row],[Test_Volume3]],"")</f>
        <v>1.33550596237182</v>
      </c>
      <c r="X21" s="27">
        <f>IF(Table15[[#This Row],[Inclusion Flag3]]="Y",(Table15[[#This Row],[Difference_Volume3]]^2)/2,"")</f>
        <v>0.89178808776534046</v>
      </c>
      <c r="Y21" s="27">
        <f>IF(Table15[[#This Row],[Inclusion Flag3]]="Y",Table15[[#This Row],[Pair_Variance V3 is sq(Diff)/2]]/(Table15[[#This Row],[Average_Volume3]]^2),"")</f>
        <v>1.7477727218390877E-2</v>
      </c>
    </row>
    <row r="23" spans="2:30" x14ac:dyDescent="0.4">
      <c r="E23" s="15"/>
      <c r="M23" s="15"/>
      <c r="U23" s="15"/>
    </row>
    <row r="24" spans="2:30" ht="15" thickBot="1" x14ac:dyDescent="0.45"/>
    <row r="25" spans="2:30" x14ac:dyDescent="0.4">
      <c r="C25" s="19" t="s">
        <v>7</v>
      </c>
      <c r="D25" s="20"/>
      <c r="E25" s="21"/>
      <c r="F25" s="21" t="s">
        <v>18</v>
      </c>
      <c r="G25" s="20" t="s">
        <v>19</v>
      </c>
      <c r="H25" s="20"/>
      <c r="I25" s="22"/>
      <c r="K25" s="19" t="s">
        <v>7</v>
      </c>
      <c r="L25" s="20"/>
      <c r="M25" s="21"/>
      <c r="N25" s="21" t="s">
        <v>18</v>
      </c>
      <c r="O25" s="20" t="s">
        <v>19</v>
      </c>
      <c r="P25" s="20"/>
      <c r="Q25" s="22"/>
      <c r="S25" s="19" t="s">
        <v>7</v>
      </c>
      <c r="T25" s="20"/>
      <c r="U25" s="21"/>
      <c r="V25" s="21" t="s">
        <v>18</v>
      </c>
      <c r="W25" s="20" t="s">
        <v>19</v>
      </c>
      <c r="X25" s="20"/>
      <c r="Y25" s="22"/>
    </row>
    <row r="26" spans="2:30" x14ac:dyDescent="0.4">
      <c r="C26" s="23" t="s">
        <v>8</v>
      </c>
      <c r="D26" s="13">
        <f>COUNT(F9:F21)</f>
        <v>13</v>
      </c>
      <c r="E26" s="24"/>
      <c r="F26" s="15" t="s">
        <v>20</v>
      </c>
      <c r="G26" s="15" t="s">
        <v>21</v>
      </c>
      <c r="I26" s="25"/>
      <c r="K26" s="23" t="s">
        <v>8</v>
      </c>
      <c r="L26" s="13">
        <f>COUNT(N9:N21)</f>
        <v>13</v>
      </c>
      <c r="M26" s="24"/>
      <c r="N26" s="15" t="s">
        <v>20</v>
      </c>
      <c r="O26" s="15" t="s">
        <v>21</v>
      </c>
      <c r="Q26" s="25"/>
      <c r="S26" s="23" t="s">
        <v>8</v>
      </c>
      <c r="T26" s="13">
        <f>COUNT(V9:V21)</f>
        <v>13</v>
      </c>
      <c r="U26" s="24"/>
      <c r="V26" s="15" t="s">
        <v>20</v>
      </c>
      <c r="W26" s="15" t="s">
        <v>21</v>
      </c>
      <c r="Y26" s="25"/>
    </row>
    <row r="27" spans="2:30" x14ac:dyDescent="0.4">
      <c r="C27" s="23" t="s">
        <v>9</v>
      </c>
      <c r="D27" s="27">
        <f>AVERAGE(I9:I21)</f>
        <v>6.6370441029292516E-4</v>
      </c>
      <c r="E27" s="24" t="s">
        <v>15</v>
      </c>
      <c r="F27" s="27">
        <f>(D26-1)/_xlfn.CHISQ.INV(0.975,D26-1)</f>
        <v>0.51421231065513962</v>
      </c>
      <c r="G27" s="27">
        <f>(D26-1)/_xlfn.CHISQ.INV(0.025,D26-1)</f>
        <v>2.7249264993029021</v>
      </c>
      <c r="I27" s="25"/>
      <c r="K27" s="23" t="s">
        <v>9</v>
      </c>
      <c r="L27" s="27">
        <f>AVERAGE(Q9:Q21)</f>
        <v>2.805210899488928E-3</v>
      </c>
      <c r="M27" s="24" t="s">
        <v>15</v>
      </c>
      <c r="N27" s="27">
        <f>(L26-1)/_xlfn.CHISQ.INV(0.975,L26-1)</f>
        <v>0.51421231065513962</v>
      </c>
      <c r="O27" s="27">
        <f>(L26-1)/_xlfn.CHISQ.INV(0.025,L26-1)</f>
        <v>2.7249264993029021</v>
      </c>
      <c r="Q27" s="25"/>
      <c r="S27" s="23" t="s">
        <v>9</v>
      </c>
      <c r="T27" s="27">
        <f>AVERAGE(Y9:Y21)</f>
        <v>6.4155100585622481E-3</v>
      </c>
      <c r="U27" s="24" t="s">
        <v>15</v>
      </c>
      <c r="V27" s="27">
        <f>(T26-1)/_xlfn.CHISQ.INV(0.975,T26-1)</f>
        <v>0.51421231065513962</v>
      </c>
      <c r="W27" s="27">
        <f>(T26-1)/_xlfn.CHISQ.INV(0.025,T26-1)</f>
        <v>2.7249264993029021</v>
      </c>
      <c r="Y27" s="25"/>
    </row>
    <row r="28" spans="2:30" x14ac:dyDescent="0.4">
      <c r="C28" s="23" t="s">
        <v>10</v>
      </c>
      <c r="D28" s="27">
        <f>100*SQRT(D27)</f>
        <v>2.5762461262327503</v>
      </c>
      <c r="E28" s="24" t="s">
        <v>16</v>
      </c>
      <c r="F28" s="27">
        <f>D28*SQRT(F$27)</f>
        <v>1.8473899924183086</v>
      </c>
      <c r="G28" s="27">
        <f>D28*SQRT(G$27)</f>
        <v>4.2527000074204597</v>
      </c>
      <c r="H28" s="13" t="s">
        <v>22</v>
      </c>
      <c r="I28" s="25"/>
      <c r="K28" s="23" t="s">
        <v>10</v>
      </c>
      <c r="L28" s="27">
        <f>100*SQRT(L27)</f>
        <v>5.2964241705974873</v>
      </c>
      <c r="M28" s="24" t="s">
        <v>16</v>
      </c>
      <c r="N28" s="27">
        <f>L28*SQRT(N$27)</f>
        <v>3.7979915462006812</v>
      </c>
      <c r="O28" s="27">
        <f>L28*SQRT(O$27)</f>
        <v>8.742993489732628</v>
      </c>
      <c r="P28" s="13" t="s">
        <v>22</v>
      </c>
      <c r="Q28" s="25"/>
      <c r="S28" s="23" t="s">
        <v>10</v>
      </c>
      <c r="T28" s="27">
        <f>100*SQRT(T27)</f>
        <v>8.0096879206135405</v>
      </c>
      <c r="U28" s="24" t="s">
        <v>16</v>
      </c>
      <c r="V28" s="27">
        <f>T28*SQRT(V$27)</f>
        <v>5.7436349564057272</v>
      </c>
      <c r="W28" s="27">
        <f>T28*SQRT(W$27)</f>
        <v>13.22187330340167</v>
      </c>
      <c r="X28" s="13" t="s">
        <v>22</v>
      </c>
      <c r="Y28" s="25"/>
    </row>
    <row r="29" spans="2:30" x14ac:dyDescent="0.4">
      <c r="C29" s="23" t="s">
        <v>11</v>
      </c>
      <c r="D29" s="27">
        <f>AVERAGE(H9:H21)</f>
        <v>3.4946340698813708E-2</v>
      </c>
      <c r="E29" s="24" t="s">
        <v>44</v>
      </c>
      <c r="F29" s="27"/>
      <c r="G29" s="27"/>
      <c r="I29" s="25"/>
      <c r="K29" s="23" t="s">
        <v>11</v>
      </c>
      <c r="L29" s="27">
        <f>AVERAGE(P9:P21)</f>
        <v>0.15005055799708936</v>
      </c>
      <c r="M29" s="24" t="s">
        <v>44</v>
      </c>
      <c r="N29" s="27"/>
      <c r="O29" s="27"/>
      <c r="Q29" s="25"/>
      <c r="S29" s="23" t="s">
        <v>11</v>
      </c>
      <c r="T29" s="27">
        <f>AVERAGE(X9:X21)</f>
        <v>0.37463154368996576</v>
      </c>
      <c r="U29" s="24" t="s">
        <v>44</v>
      </c>
      <c r="V29" s="27"/>
      <c r="W29" s="27"/>
      <c r="Y29" s="25"/>
    </row>
    <row r="30" spans="2:30" x14ac:dyDescent="0.4">
      <c r="C30" s="23" t="s">
        <v>17</v>
      </c>
      <c r="D30" s="27">
        <f>SQRT(D29)</f>
        <v>0.18693940381528371</v>
      </c>
      <c r="E30" s="24" t="s">
        <v>44</v>
      </c>
      <c r="F30" s="27">
        <f>D30*SQRT(F$27)</f>
        <v>0.13405162662078646</v>
      </c>
      <c r="G30" s="27">
        <f>D30*SQRT(G$27)</f>
        <v>0.30858744275142658</v>
      </c>
      <c r="H30" s="13" t="s">
        <v>45</v>
      </c>
      <c r="I30" s="25"/>
      <c r="K30" s="23" t="s">
        <v>17</v>
      </c>
      <c r="L30" s="27">
        <f>SQRT(L29)</f>
        <v>0.38736359921537461</v>
      </c>
      <c r="M30" s="24" t="s">
        <v>44</v>
      </c>
      <c r="N30" s="27">
        <f>L30*SQRT(N$27)</f>
        <v>0.27777300830494017</v>
      </c>
      <c r="O30" s="27">
        <f>L30*SQRT(O$27)</f>
        <v>0.63943470481469478</v>
      </c>
      <c r="P30" s="13" t="s">
        <v>24</v>
      </c>
      <c r="Q30" s="25"/>
      <c r="S30" s="23" t="s">
        <v>17</v>
      </c>
      <c r="T30" s="27">
        <f>SQRT(T29)</f>
        <v>0.61207151844369112</v>
      </c>
      <c r="U30" s="24" t="s">
        <v>44</v>
      </c>
      <c r="V30" s="27">
        <f>T30*SQRT(V$27)</f>
        <v>0.4389079080229919</v>
      </c>
      <c r="W30" s="27">
        <f>T30*SQRT(W$27)</f>
        <v>1.0103679631082632</v>
      </c>
      <c r="X30" s="13" t="s">
        <v>26</v>
      </c>
      <c r="Y30" s="25"/>
    </row>
    <row r="31" spans="2:30" x14ac:dyDescent="0.4">
      <c r="C31" s="23" t="s">
        <v>12</v>
      </c>
      <c r="D31" s="27">
        <f>1.96 * SQRT(2*D29)</f>
        <v>0.5181695908263293</v>
      </c>
      <c r="E31" s="24" t="s">
        <v>44</v>
      </c>
      <c r="F31" s="27">
        <f>D31*SQRT(F$27)</f>
        <v>0.37157215171356928</v>
      </c>
      <c r="G31" s="27">
        <f>D31*SQRT(G$27)</f>
        <v>0.85536075156551317</v>
      </c>
      <c r="H31" s="13" t="s">
        <v>46</v>
      </c>
      <c r="I31" s="25"/>
      <c r="K31" s="23" t="s">
        <v>12</v>
      </c>
      <c r="L31" s="27">
        <f>1.96 * SQRT(2*L29)</f>
        <v>1.073717116936876</v>
      </c>
      <c r="M31" s="24" t="s">
        <v>44</v>
      </c>
      <c r="N31" s="27">
        <f>L31*SQRT(N$27)</f>
        <v>0.76994749698780063</v>
      </c>
      <c r="O31" s="27">
        <f>L31*SQRT(O$27)</f>
        <v>1.7724225743299169</v>
      </c>
      <c r="P31" s="13" t="s">
        <v>25</v>
      </c>
      <c r="Q31" s="25"/>
      <c r="S31" s="23" t="s">
        <v>12</v>
      </c>
      <c r="T31" s="27">
        <f>1.96 * SQRT(2*T29)</f>
        <v>1.6965756913497096</v>
      </c>
      <c r="U31" s="24" t="s">
        <v>44</v>
      </c>
      <c r="V31" s="27">
        <f>T31*SQRT(V$27)</f>
        <v>1.2165906516714797</v>
      </c>
      <c r="W31" s="27">
        <f>T31*SQRT(W$27)</f>
        <v>2.8005971097733702</v>
      </c>
      <c r="X31" s="13" t="s">
        <v>27</v>
      </c>
      <c r="Y31" s="25"/>
    </row>
    <row r="32" spans="2:30" x14ac:dyDescent="0.4">
      <c r="C32" s="23" t="s">
        <v>13</v>
      </c>
      <c r="D32" s="27">
        <f>AVERAGE(F9:F21)</f>
        <v>7.7501618586320102</v>
      </c>
      <c r="E32" s="24" t="s">
        <v>44</v>
      </c>
      <c r="I32" s="25"/>
      <c r="K32" s="23" t="s">
        <v>13</v>
      </c>
      <c r="L32" s="27">
        <f>AVERAGE(N9:N21)</f>
        <v>7.7856344443101131</v>
      </c>
      <c r="M32" s="24" t="s">
        <v>44</v>
      </c>
      <c r="Q32" s="25"/>
      <c r="S32" s="23" t="s">
        <v>13</v>
      </c>
      <c r="T32" s="27">
        <f>AVERAGE(V9:V21)</f>
        <v>8.9963712508861668</v>
      </c>
      <c r="U32" s="24" t="s">
        <v>44</v>
      </c>
      <c r="Y32" s="25"/>
    </row>
    <row r="33" spans="3:25" x14ac:dyDescent="0.4">
      <c r="C33" s="23" t="s">
        <v>14</v>
      </c>
      <c r="D33" s="27">
        <f>AVERAGE(G9:G21)</f>
        <v>0.11269794962956851</v>
      </c>
      <c r="E33" s="24" t="s">
        <v>44</v>
      </c>
      <c r="I33" s="25"/>
      <c r="K33" s="23" t="s">
        <v>14</v>
      </c>
      <c r="L33" s="27">
        <f>AVERAGE(O9:O21)</f>
        <v>7.5663493229792461E-2</v>
      </c>
      <c r="M33" s="24" t="s">
        <v>44</v>
      </c>
      <c r="Q33" s="25"/>
      <c r="S33" s="23" t="s">
        <v>14</v>
      </c>
      <c r="T33" s="27">
        <f>AVERAGE(W9:W21)</f>
        <v>0.37078501627995658</v>
      </c>
      <c r="U33" s="24" t="s">
        <v>44</v>
      </c>
      <c r="Y33" s="25"/>
    </row>
    <row r="34" spans="3:25" ht="15" thickBot="1" x14ac:dyDescent="0.45">
      <c r="C34" s="28" t="s">
        <v>23</v>
      </c>
      <c r="D34" s="29" t="s">
        <v>23</v>
      </c>
      <c r="E34" s="30"/>
      <c r="F34" s="31"/>
      <c r="G34" s="31"/>
      <c r="H34" s="31"/>
      <c r="I34" s="32"/>
      <c r="K34" s="28" t="s">
        <v>23</v>
      </c>
      <c r="L34" s="29" t="s">
        <v>23</v>
      </c>
      <c r="M34" s="30"/>
      <c r="N34" s="31"/>
      <c r="O34" s="31"/>
      <c r="P34" s="31"/>
      <c r="Q34" s="32"/>
      <c r="S34" s="28" t="s">
        <v>23</v>
      </c>
      <c r="T34" s="29" t="s">
        <v>23</v>
      </c>
      <c r="U34" s="30"/>
      <c r="V34" s="31"/>
      <c r="W34" s="31"/>
      <c r="X34" s="31"/>
      <c r="Y34" s="32"/>
    </row>
    <row r="35" spans="3:25" x14ac:dyDescent="0.4">
      <c r="E35" s="15"/>
      <c r="M35" s="15"/>
      <c r="U35" s="15"/>
    </row>
    <row r="36" spans="3:25" x14ac:dyDescent="0.4">
      <c r="E36" s="15"/>
      <c r="M36" s="15"/>
      <c r="U36" s="1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692BB-F1B5-40A9-BC05-E3AE1EA9DC7C}">
  <dimension ref="E2:AE35"/>
  <sheetViews>
    <sheetView topLeftCell="D2" zoomScale="112" zoomScaleNormal="112" workbookViewId="0">
      <pane xSplit="2" ySplit="4" topLeftCell="F6" activePane="bottomRight" state="frozen"/>
      <selection activeCell="D2" sqref="D2"/>
      <selection pane="topRight" activeCell="G2" sqref="G2"/>
      <selection pane="bottomLeft" activeCell="D5" sqref="D5"/>
      <selection pane="bottomRight" activeCell="N4" sqref="A1:XFD1048576"/>
    </sheetView>
  </sheetViews>
  <sheetFormatPr defaultRowHeight="14.6" x14ac:dyDescent="0.4"/>
  <cols>
    <col min="1" max="4" width="9.23046875" style="13"/>
    <col min="5" max="5" width="15.69140625" style="13" customWidth="1"/>
    <col min="6" max="6" width="12.3046875" style="13" customWidth="1"/>
    <col min="7" max="7" width="16.84375" style="13" customWidth="1"/>
    <col min="8" max="8" width="10" style="13" customWidth="1"/>
    <col min="9" max="9" width="15.53515625" style="13" customWidth="1"/>
    <col min="10" max="10" width="12.3046875" style="13" customWidth="1"/>
    <col min="11" max="11" width="14.3046875" style="13" customWidth="1"/>
    <col min="12" max="12" width="12.69140625" style="13" customWidth="1"/>
    <col min="13" max="13" width="12.53515625" style="13" customWidth="1"/>
    <col min="14" max="16" width="12.69140625" style="13" customWidth="1"/>
    <col min="17" max="17" width="10.53515625" style="13" customWidth="1"/>
    <col min="18" max="21" width="12.69140625" style="13" customWidth="1"/>
    <col min="22" max="22" width="7.3828125" style="13" customWidth="1"/>
    <col min="23" max="24" width="12.69140625" style="13" customWidth="1"/>
    <col min="25" max="25" width="16" style="13" customWidth="1"/>
    <col min="26" max="30" width="12.69140625" style="13" customWidth="1"/>
    <col min="31" max="16384" width="9.23046875" style="13"/>
  </cols>
  <sheetData>
    <row r="2" spans="5:31" ht="23.25" customHeight="1" x14ac:dyDescent="0.4">
      <c r="E2" s="3"/>
      <c r="F2" s="3"/>
      <c r="G2" s="3"/>
      <c r="H2" s="3"/>
      <c r="I2" s="3"/>
      <c r="J2" s="3"/>
      <c r="K2" s="3"/>
      <c r="O2" s="3"/>
      <c r="P2" s="3"/>
      <c r="Q2" s="3"/>
      <c r="R2" s="3"/>
      <c r="S2" s="3"/>
      <c r="T2" s="3"/>
      <c r="U2" s="3"/>
      <c r="Y2" s="3"/>
      <c r="Z2" s="3"/>
      <c r="AA2" s="3"/>
      <c r="AB2" s="3"/>
      <c r="AC2" s="3"/>
      <c r="AD2" s="3"/>
      <c r="AE2" s="3"/>
    </row>
    <row r="3" spans="5:31" ht="23.25" customHeight="1" x14ac:dyDescent="0.4">
      <c r="E3" s="3"/>
      <c r="F3" s="3"/>
      <c r="G3" s="3"/>
      <c r="H3" s="3"/>
      <c r="I3" s="3"/>
      <c r="J3" s="3"/>
      <c r="K3" s="3"/>
      <c r="O3" s="3"/>
      <c r="P3" s="3"/>
      <c r="Q3" s="3"/>
      <c r="R3" s="3"/>
      <c r="S3" s="3"/>
      <c r="T3" s="3"/>
      <c r="U3" s="3"/>
      <c r="Y3" s="3"/>
      <c r="Z3" s="3"/>
      <c r="AA3" s="3"/>
      <c r="AB3" s="3"/>
      <c r="AC3" s="3"/>
      <c r="AD3" s="3"/>
      <c r="AE3" s="3"/>
    </row>
    <row r="4" spans="5:31" ht="14.25" customHeight="1" x14ac:dyDescent="0.4">
      <c r="F4" s="11" t="s">
        <v>71</v>
      </c>
      <c r="G4" s="11"/>
      <c r="H4" s="11"/>
      <c r="N4" s="42" t="s">
        <v>131</v>
      </c>
    </row>
    <row r="5" spans="5:31" ht="29.15" x14ac:dyDescent="0.4">
      <c r="E5" s="13" t="s">
        <v>69</v>
      </c>
      <c r="F5" s="14" t="s">
        <v>83</v>
      </c>
      <c r="G5" s="14" t="s">
        <v>84</v>
      </c>
      <c r="H5" s="14" t="s">
        <v>90</v>
      </c>
      <c r="I5" s="14" t="s">
        <v>85</v>
      </c>
      <c r="J5" s="14" t="s">
        <v>86</v>
      </c>
      <c r="K5" s="14" t="s">
        <v>92</v>
      </c>
      <c r="L5" s="14" t="s">
        <v>99</v>
      </c>
      <c r="M5" s="13" t="s">
        <v>41</v>
      </c>
      <c r="N5" s="13" t="s">
        <v>87</v>
      </c>
      <c r="O5" s="13" t="s">
        <v>96</v>
      </c>
      <c r="P5" s="13" t="s">
        <v>97</v>
      </c>
      <c r="Q5" s="13" t="s">
        <v>88</v>
      </c>
      <c r="R5" s="13" t="s">
        <v>89</v>
      </c>
      <c r="S5" s="13" t="s">
        <v>122</v>
      </c>
      <c r="T5" s="13" t="s">
        <v>98</v>
      </c>
      <c r="U5" s="13" t="s">
        <v>93</v>
      </c>
      <c r="V5" s="13" t="s">
        <v>42</v>
      </c>
      <c r="W5" s="13" t="s">
        <v>107</v>
      </c>
      <c r="X5" s="13" t="s">
        <v>108</v>
      </c>
      <c r="Y5" s="13" t="s">
        <v>109</v>
      </c>
      <c r="Z5" s="13" t="s">
        <v>110</v>
      </c>
      <c r="AA5" s="13" t="s">
        <v>111</v>
      </c>
      <c r="AB5" s="13" t="s">
        <v>112</v>
      </c>
      <c r="AC5" s="13" t="s">
        <v>113</v>
      </c>
      <c r="AD5" s="13" t="s">
        <v>114</v>
      </c>
    </row>
    <row r="6" spans="5:31" x14ac:dyDescent="0.4">
      <c r="E6" s="13" t="s">
        <v>61</v>
      </c>
      <c r="F6" s="27">
        <v>5.7558170000000004</v>
      </c>
      <c r="G6" s="27">
        <v>3.8403700000000001</v>
      </c>
      <c r="H6" s="15" t="s">
        <v>1</v>
      </c>
      <c r="I6" s="27">
        <f>IF(Table11112[[#This Row],[Inclusion Flag]]="Y",(Table11112[[#This Row],[Test_Volume]]+Table11112[[#This Row],[ReTest_Volume]])/2,"")</f>
        <v>4.7980935000000002</v>
      </c>
      <c r="J6" s="27">
        <f>IF(Table11112[[#This Row],[Inclusion Flag]]="Y",(Table11112[[#This Row],[ReTest_Volume]]-Table11112[[#This Row],[Test_Volume]]),"")</f>
        <v>-1.9154470000000003</v>
      </c>
      <c r="K6" s="27">
        <f>IF(Table11112[[#This Row],[Inclusion Flag]]="Y",(Table11112[[#This Row],[Difference_Volume]]^2)/2,"")</f>
        <v>1.8344686049045007</v>
      </c>
      <c r="L6" s="27">
        <f>IF(Table11112[[#This Row],[Inclusion Flag]]="Y",Table11112[[#This Row],[Pair_Variance V is sq(Diff)/2]]/(Table11112[[#This Row],[Average_Volume]]^2),"")</f>
        <v>7.9684319859736868E-2</v>
      </c>
      <c r="N6" s="13">
        <v>5.9990385700000006</v>
      </c>
      <c r="O6" s="13">
        <v>4.3533459900000002</v>
      </c>
      <c r="P6" s="15" t="s">
        <v>1</v>
      </c>
      <c r="Q6" s="27">
        <f>IF(Table11112[[#This Row],[Inclusion Flag2]]="Y",(Table11112[[#This Row],[Test_Volume2]]+Table11112[[#This Row],[ReTest_Volume2]])/2,"")</f>
        <v>5.1761922800000004</v>
      </c>
      <c r="R6" s="27">
        <f>IF(Table11112[[#This Row],[Inclusion Flag2]]="Y",(Table11112[[#This Row],[ReTest_Volume2]]-Table11112[[#This Row],[Test_Volume2]]),"")</f>
        <v>-1.6456925800000004</v>
      </c>
      <c r="S6" s="27">
        <f>IF(Table11112[[#This Row],[Inclusion Flag2]]="Y",(Table11112[[#This Row],[Difference_Volume2]]^2)/2,"")</f>
        <v>1.3541520339335289</v>
      </c>
      <c r="T6" s="27">
        <f>IF(Table11112[[#This Row],[Inclusion Flag2]]="Y",Table11112[[#This Row],[Pair_Variance2 V is sq(Diff)/2]]/(Table11112[[#This Row],[Average_Volume2]]^2),"")</f>
        <v>5.0541325199894377E-2</v>
      </c>
      <c r="Z6" s="15"/>
    </row>
    <row r="7" spans="5:31" ht="17.25" customHeight="1" x14ac:dyDescent="0.4">
      <c r="E7" s="13" t="s">
        <v>50</v>
      </c>
      <c r="F7" s="27">
        <v>8.4716843999999991</v>
      </c>
      <c r="G7" s="27">
        <v>8.0231456699999999</v>
      </c>
      <c r="H7" s="15" t="s">
        <v>1</v>
      </c>
      <c r="I7" s="27">
        <f>IF(Table11112[[#This Row],[Inclusion Flag]]="Y",(Table11112[[#This Row],[Test_Volume]]+Table11112[[#This Row],[ReTest_Volume]])/2,"")</f>
        <v>8.2474150349999995</v>
      </c>
      <c r="J7" s="27">
        <f>IF(Table11112[[#This Row],[Inclusion Flag]]="Y",(Table11112[[#This Row],[ReTest_Volume]]-Table11112[[#This Row],[Test_Volume]]),"")</f>
        <v>-0.44853872999999922</v>
      </c>
      <c r="K7" s="27">
        <f>IF(Table11112[[#This Row],[Inclusion Flag]]="Y",(Table11112[[#This Row],[Difference_Volume]]^2)/2,"")</f>
        <v>0.1005934961550061</v>
      </c>
      <c r="L7" s="27">
        <f>IF(Table11112[[#This Row],[Inclusion Flag]]="Y",Table11112[[#This Row],[Pair_Variance V is sq(Diff)/2]]/(Table11112[[#This Row],[Average_Volume]]^2),"")</f>
        <v>1.4788843126850629E-3</v>
      </c>
      <c r="N7" s="13">
        <v>9.3150618549999997</v>
      </c>
      <c r="O7" s="13">
        <v>7.8437306249999992</v>
      </c>
      <c r="P7" s="15" t="s">
        <v>1</v>
      </c>
      <c r="Q7" s="27">
        <f>IF(Table11112[[#This Row],[Inclusion Flag2]]="Y",(Table11112[[#This Row],[Test_Volume2]]+Table11112[[#This Row],[ReTest_Volume2]])/2,"")</f>
        <v>8.5793962399999995</v>
      </c>
      <c r="R7" s="27">
        <f>IF(Table11112[[#This Row],[Inclusion Flag2]]="Y",(Table11112[[#This Row],[ReTest_Volume2]]-Table11112[[#This Row],[Test_Volume2]]),"")</f>
        <v>-1.4713312300000005</v>
      </c>
      <c r="S7" s="27">
        <f>IF(Table11112[[#This Row],[Inclusion Flag2]]="Y",(Table11112[[#This Row],[Difference_Volume2]]^2)/2,"")</f>
        <v>1.0824077941866572</v>
      </c>
      <c r="T7" s="27">
        <f>IF(Table11112[[#This Row],[Inclusion Flag2]]="Y",Table11112[[#This Row],[Pair_Variance2 V is sq(Diff)/2]]/(Table11112[[#This Row],[Average_Volume2]]^2),"")</f>
        <v>1.4705420866229113E-2</v>
      </c>
      <c r="Z7" s="15"/>
    </row>
    <row r="8" spans="5:31" ht="18" customHeight="1" x14ac:dyDescent="0.4">
      <c r="E8" s="13" t="s">
        <v>50</v>
      </c>
      <c r="F8" s="27">
        <v>8.8349360000000008</v>
      </c>
      <c r="G8" s="27">
        <v>8.4590492200000007</v>
      </c>
      <c r="H8" s="15" t="s">
        <v>1</v>
      </c>
      <c r="I8" s="27">
        <f>IF(Table11112[[#This Row],[Inclusion Flag]]="Y",(Table11112[[#This Row],[Test_Volume]]+Table11112[[#This Row],[ReTest_Volume]])/2,"")</f>
        <v>8.6469926100000016</v>
      </c>
      <c r="J8" s="27">
        <f>IF(Table11112[[#This Row],[Inclusion Flag]]="Y",(Table11112[[#This Row],[ReTest_Volume]]-Table11112[[#This Row],[Test_Volume]]),"")</f>
        <v>-0.37588678000000009</v>
      </c>
      <c r="K8" s="27">
        <f>IF(Table11112[[#This Row],[Inclusion Flag]]="Y",(Table11112[[#This Row],[Difference_Volume]]^2)/2,"")</f>
        <v>7.0645435689384237E-2</v>
      </c>
      <c r="L8" s="27">
        <f>IF(Table11112[[#This Row],[Inclusion Flag]]="Y",Table11112[[#This Row],[Pair_Variance V is sq(Diff)/2]]/(Table11112[[#This Row],[Average_Volume]]^2),"")</f>
        <v>9.4483056091186233E-4</v>
      </c>
      <c r="N8" s="13">
        <v>8.8703137425000005</v>
      </c>
      <c r="O8" s="13">
        <v>8.2897412574999993</v>
      </c>
      <c r="P8" s="15" t="s">
        <v>1</v>
      </c>
      <c r="Q8" s="27">
        <f>IF(Table11112[[#This Row],[Inclusion Flag2]]="Y",(Table11112[[#This Row],[Test_Volume2]]+Table11112[[#This Row],[ReTest_Volume2]])/2,"")</f>
        <v>8.5800274999999999</v>
      </c>
      <c r="R8" s="27">
        <f>IF(Table11112[[#This Row],[Inclusion Flag2]]="Y",(Table11112[[#This Row],[ReTest_Volume2]]-Table11112[[#This Row],[Test_Volume2]]),"")</f>
        <v>-0.58057248500000114</v>
      </c>
      <c r="S8" s="27">
        <f>IF(Table11112[[#This Row],[Inclusion Flag2]]="Y",(Table11112[[#This Row],[Difference_Volume2]]^2)/2,"")</f>
        <v>0.16853220516953826</v>
      </c>
      <c r="T8" s="27">
        <f>IF(Table11112[[#This Row],[Inclusion Flag2]]="Y",Table11112[[#This Row],[Pair_Variance2 V is sq(Diff)/2]]/(Table11112[[#This Row],[Average_Volume2]]^2),"")</f>
        <v>2.2893149466706284E-3</v>
      </c>
      <c r="Z8" s="15"/>
    </row>
    <row r="9" spans="5:31" ht="15" customHeight="1" x14ac:dyDescent="0.4">
      <c r="E9" s="13" t="s">
        <v>50</v>
      </c>
      <c r="F9" s="27">
        <v>8.2966908999999998</v>
      </c>
      <c r="G9" s="27">
        <v>8.1450709999999997</v>
      </c>
      <c r="H9" s="15" t="s">
        <v>1</v>
      </c>
      <c r="I9" s="27">
        <f>IF(Table11112[[#This Row],[Inclusion Flag]]="Y",(Table11112[[#This Row],[Test_Volume]]+Table11112[[#This Row],[ReTest_Volume]])/2,"")</f>
        <v>8.2208809499999997</v>
      </c>
      <c r="J9" s="27">
        <f>IF(Table11112[[#This Row],[Inclusion Flag]]="Y",(Table11112[[#This Row],[ReTest_Volume]]-Table11112[[#This Row],[Test_Volume]]),"")</f>
        <v>-0.15161990000000003</v>
      </c>
      <c r="K9" s="27">
        <f>IF(Table11112[[#This Row],[Inclusion Flag]]="Y",(Table11112[[#This Row],[Difference_Volume]]^2)/2,"")</f>
        <v>1.1494297038005004E-2</v>
      </c>
      <c r="L9" s="27">
        <f>IF(Table11112[[#This Row],[Inclusion Flag]]="Y",Table11112[[#This Row],[Pair_Variance V is sq(Diff)/2]]/(Table11112[[#This Row],[Average_Volume]]^2),"")</f>
        <v>1.7007704357576521E-4</v>
      </c>
      <c r="N9" s="13">
        <v>8.0749483703500005</v>
      </c>
      <c r="O9" s="13">
        <v>7.5329121946499997</v>
      </c>
      <c r="P9" s="15" t="s">
        <v>1</v>
      </c>
      <c r="Q9" s="27">
        <f>IF(Table11112[[#This Row],[Inclusion Flag2]]="Y",(Table11112[[#This Row],[Test_Volume2]]+Table11112[[#This Row],[ReTest_Volume2]])/2,"")</f>
        <v>7.8039302824999996</v>
      </c>
      <c r="R9" s="27">
        <f>IF(Table11112[[#This Row],[Inclusion Flag2]]="Y",(Table11112[[#This Row],[ReTest_Volume2]]-Table11112[[#This Row],[Test_Volume2]]),"")</f>
        <v>-0.54203617570000073</v>
      </c>
      <c r="S9" s="27">
        <f>IF(Table11112[[#This Row],[Inclusion Flag2]]="Y",(Table11112[[#This Row],[Difference_Volume2]]^2)/2,"")</f>
        <v>0.14690160788374104</v>
      </c>
      <c r="T9" s="27">
        <f>IF(Table11112[[#This Row],[Inclusion Flag2]]="Y",Table11112[[#This Row],[Pair_Variance2 V is sq(Diff)/2]]/(Table11112[[#This Row],[Average_Volume2]]^2),"")</f>
        <v>2.4121248757600256E-3</v>
      </c>
      <c r="Z9" s="15"/>
    </row>
    <row r="10" spans="5:31" x14ac:dyDescent="0.4">
      <c r="E10" s="13" t="s">
        <v>53</v>
      </c>
      <c r="F10" s="27">
        <v>7.4248843000000004</v>
      </c>
      <c r="G10" s="27">
        <v>7.5341750000000003</v>
      </c>
      <c r="H10" s="15" t="s">
        <v>1</v>
      </c>
      <c r="I10" s="27">
        <f>IF(Table11112[[#This Row],[Inclusion Flag]]="Y",(Table11112[[#This Row],[Test_Volume]]+Table11112[[#This Row],[ReTest_Volume]])/2,"")</f>
        <v>7.4795296499999999</v>
      </c>
      <c r="J10" s="27">
        <f>IF(Table11112[[#This Row],[Inclusion Flag]]="Y",(Table11112[[#This Row],[ReTest_Volume]]-Table11112[[#This Row],[Test_Volume]]),"")</f>
        <v>0.10929069999999985</v>
      </c>
      <c r="K10" s="27">
        <f>IF(Table11112[[#This Row],[Inclusion Flag]]="Y",(Table11112[[#This Row],[Difference_Volume]]^2)/2,"")</f>
        <v>5.9722285532449841E-3</v>
      </c>
      <c r="L10" s="27">
        <f>IF(Table11112[[#This Row],[Inclusion Flag]]="Y",Table11112[[#This Row],[Pair_Variance V is sq(Diff)/2]]/(Table11112[[#This Row],[Average_Volume]]^2),"")</f>
        <v>1.0675490619714662E-4</v>
      </c>
      <c r="N10" s="13">
        <v>7.0932185945000006</v>
      </c>
      <c r="O10" s="13">
        <v>7.7281210114999999</v>
      </c>
      <c r="P10" s="15" t="s">
        <v>1</v>
      </c>
      <c r="Q10" s="27">
        <f>IF(Table11112[[#This Row],[Inclusion Flag2]]="Y",(Table11112[[#This Row],[Test_Volume2]]+Table11112[[#This Row],[ReTest_Volume2]])/2,"")</f>
        <v>7.4106698030000002</v>
      </c>
      <c r="R10" s="27">
        <f>IF(Table11112[[#This Row],[Inclusion Flag2]]="Y",(Table11112[[#This Row],[ReTest_Volume2]]-Table11112[[#This Row],[Test_Volume2]]),"")</f>
        <v>0.63490241699999928</v>
      </c>
      <c r="S10" s="27">
        <f>IF(Table11112[[#This Row],[Inclusion Flag2]]="Y",(Table11112[[#This Row],[Difference_Volume2]]^2)/2,"")</f>
        <v>0.20155053955622049</v>
      </c>
      <c r="T10" s="27">
        <f>IF(Table11112[[#This Row],[Inclusion Flag2]]="Y",Table11112[[#This Row],[Pair_Variance2 V is sq(Diff)/2]]/(Table11112[[#This Row],[Average_Volume2]]^2),"")</f>
        <v>3.6700251415885663E-3</v>
      </c>
      <c r="Y10" s="15"/>
    </row>
    <row r="11" spans="5:31" x14ac:dyDescent="0.4">
      <c r="E11" s="13" t="s">
        <v>53</v>
      </c>
      <c r="F11" s="27">
        <v>7.2416786999999996</v>
      </c>
      <c r="G11" s="27">
        <v>7.1109075500000003</v>
      </c>
      <c r="H11" s="15" t="s">
        <v>1</v>
      </c>
      <c r="I11" s="27">
        <f>IF(Table11112[[#This Row],[Inclusion Flag]]="Y",(Table11112[[#This Row],[Test_Volume]]+Table11112[[#This Row],[ReTest_Volume]])/2,"")</f>
        <v>7.1762931249999999</v>
      </c>
      <c r="J11" s="27">
        <f>IF(Table11112[[#This Row],[Inclusion Flag]]="Y",(Table11112[[#This Row],[ReTest_Volume]]-Table11112[[#This Row],[Test_Volume]]),"")</f>
        <v>-0.13077114999999928</v>
      </c>
      <c r="K11" s="27">
        <f>IF(Table11112[[#This Row],[Inclusion Flag]]="Y",(Table11112[[#This Row],[Difference_Volume]]^2)/2,"")</f>
        <v>8.5505468361611568E-3</v>
      </c>
      <c r="L11" s="27">
        <f>IF(Table11112[[#This Row],[Inclusion Flag]]="Y",Table11112[[#This Row],[Pair_Variance V is sq(Diff)/2]]/(Table11112[[#This Row],[Average_Volume]]^2),"")</f>
        <v>1.6603266955744796E-4</v>
      </c>
      <c r="N11" s="13">
        <v>7.0591048649999992</v>
      </c>
      <c r="O11" s="13">
        <v>6.621306455</v>
      </c>
      <c r="P11" s="15" t="s">
        <v>1</v>
      </c>
      <c r="Q11" s="27">
        <f>IF(Table11112[[#This Row],[Inclusion Flag2]]="Y",(Table11112[[#This Row],[Test_Volume2]]+Table11112[[#This Row],[ReTest_Volume2]])/2,"")</f>
        <v>6.8402056599999996</v>
      </c>
      <c r="R11" s="27">
        <f>IF(Table11112[[#This Row],[Inclusion Flag2]]="Y",(Table11112[[#This Row],[ReTest_Volume2]]-Table11112[[#This Row],[Test_Volume2]]),"")</f>
        <v>-0.43779840999999919</v>
      </c>
      <c r="S11" s="27">
        <f>IF(Table11112[[#This Row],[Inclusion Flag2]]="Y",(Table11112[[#This Row],[Difference_Volume2]]^2)/2,"")</f>
        <v>9.5833723899263701E-2</v>
      </c>
      <c r="T11" s="27">
        <f>IF(Table11112[[#This Row],[Inclusion Flag2]]="Y",Table11112[[#This Row],[Pair_Variance2 V is sq(Diff)/2]]/(Table11112[[#This Row],[Average_Volume2]]^2),"")</f>
        <v>2.048236236060149E-3</v>
      </c>
      <c r="Y11" s="15"/>
    </row>
    <row r="12" spans="5:31" x14ac:dyDescent="0.4">
      <c r="E12" s="13" t="s">
        <v>53</v>
      </c>
      <c r="F12" s="27">
        <v>7.0452064999999999</v>
      </c>
      <c r="G12" s="27">
        <v>7.0957460399999999</v>
      </c>
      <c r="H12" s="15" t="s">
        <v>1</v>
      </c>
      <c r="I12" s="27">
        <f>IF(Table11112[[#This Row],[Inclusion Flag]]="Y",(Table11112[[#This Row],[Test_Volume]]+Table11112[[#This Row],[ReTest_Volume]])/2,"")</f>
        <v>7.0704762700000003</v>
      </c>
      <c r="J12" s="27">
        <f>IF(Table11112[[#This Row],[Inclusion Flag]]="Y",(Table11112[[#This Row],[ReTest_Volume]]-Table11112[[#This Row],[Test_Volume]]),"")</f>
        <v>5.0539539999999938E-2</v>
      </c>
      <c r="K12" s="27">
        <f>IF(Table11112[[#This Row],[Inclusion Flag]]="Y",(Table11112[[#This Row],[Difference_Volume]]^2)/2,"")</f>
        <v>1.2771225517057968E-3</v>
      </c>
      <c r="L12" s="27">
        <f>IF(Table11112[[#This Row],[Inclusion Flag]]="Y",Table11112[[#This Row],[Pair_Variance V is sq(Diff)/2]]/(Table11112[[#This Row],[Average_Volume]]^2),"")</f>
        <v>2.5546725162367423E-5</v>
      </c>
      <c r="N12" s="13">
        <v>6.7874555000000001</v>
      </c>
      <c r="O12" s="13">
        <v>6.9150677300000005</v>
      </c>
      <c r="P12" s="15" t="s">
        <v>1</v>
      </c>
      <c r="Q12" s="27">
        <f>IF(Table11112[[#This Row],[Inclusion Flag2]]="Y",(Table11112[[#This Row],[Test_Volume2]]+Table11112[[#This Row],[ReTest_Volume2]])/2,"")</f>
        <v>6.8512616150000003</v>
      </c>
      <c r="R12" s="27">
        <f>IF(Table11112[[#This Row],[Inclusion Flag2]]="Y",(Table11112[[#This Row],[ReTest_Volume2]]-Table11112[[#This Row],[Test_Volume2]]),"")</f>
        <v>0.12761223000000044</v>
      </c>
      <c r="S12" s="27">
        <f>IF(Table11112[[#This Row],[Inclusion Flag2]]="Y",(Table11112[[#This Row],[Difference_Volume2]]^2)/2,"")</f>
        <v>8.1424406227865054E-3</v>
      </c>
      <c r="T12" s="27">
        <f>IF(Table11112[[#This Row],[Inclusion Flag2]]="Y",Table11112[[#This Row],[Pair_Variance2 V is sq(Diff)/2]]/(Table11112[[#This Row],[Average_Volume2]]^2),"")</f>
        <v>1.7346565388788474E-4</v>
      </c>
      <c r="Y12" s="15"/>
    </row>
    <row r="13" spans="5:31" ht="17.25" customHeight="1" x14ac:dyDescent="0.4">
      <c r="E13" s="13" t="s">
        <v>53</v>
      </c>
      <c r="F13" s="27">
        <v>7.1772408399999996</v>
      </c>
      <c r="G13" s="27">
        <v>7.2536820999999998</v>
      </c>
      <c r="H13" s="15" t="s">
        <v>1</v>
      </c>
      <c r="I13" s="27">
        <f>IF(Table11112[[#This Row],[Inclusion Flag]]="Y",(Table11112[[#This Row],[Test_Volume]]+Table11112[[#This Row],[ReTest_Volume]])/2,"")</f>
        <v>7.2154614699999993</v>
      </c>
      <c r="J13" s="27">
        <f>IF(Table11112[[#This Row],[Inclusion Flag]]="Y",(Table11112[[#This Row],[ReTest_Volume]]-Table11112[[#This Row],[Test_Volume]]),"")</f>
        <v>7.6441260000000177E-2</v>
      </c>
      <c r="K13" s="27">
        <f>IF(Table11112[[#This Row],[Inclusion Flag]]="Y",(Table11112[[#This Row],[Difference_Volume]]^2)/2,"")</f>
        <v>2.9216331151938136E-3</v>
      </c>
      <c r="L13" s="27">
        <f>IF(Table11112[[#This Row],[Inclusion Flag]]="Y",Table11112[[#This Row],[Pair_Variance V is sq(Diff)/2]]/(Table11112[[#This Row],[Average_Volume]]^2),"")</f>
        <v>5.6117388782464289E-5</v>
      </c>
      <c r="N13" s="13">
        <v>6.8942196217999996</v>
      </c>
      <c r="O13" s="13">
        <v>6.7880866678</v>
      </c>
      <c r="P13" s="15" t="s">
        <v>1</v>
      </c>
      <c r="Q13" s="27">
        <f>IF(Table11112[[#This Row],[Inclusion Flag2]]="Y",(Table11112[[#This Row],[Test_Volume2]]+Table11112[[#This Row],[ReTest_Volume2]])/2,"")</f>
        <v>6.8411531447999998</v>
      </c>
      <c r="R13" s="27">
        <f>IF(Table11112[[#This Row],[Inclusion Flag2]]="Y",(Table11112[[#This Row],[ReTest_Volume2]]-Table11112[[#This Row],[Test_Volume2]]),"")</f>
        <v>-0.10613295399999956</v>
      </c>
      <c r="S13" s="27">
        <f>IF(Table11112[[#This Row],[Inclusion Flag2]]="Y",(Table11112[[#This Row],[Difference_Volume2]]^2)/2,"")</f>
        <v>5.6321019623830114E-3</v>
      </c>
      <c r="T13" s="27">
        <f>IF(Table11112[[#This Row],[Inclusion Flag2]]="Y",Table11112[[#This Row],[Pair_Variance2 V is sq(Diff)/2]]/(Table11112[[#This Row],[Average_Volume2]]^2),"")</f>
        <v>1.2034051990673931E-4</v>
      </c>
      <c r="Y13" s="15"/>
    </row>
    <row r="14" spans="5:31" x14ac:dyDescent="0.4">
      <c r="E14" s="13" t="s">
        <v>54</v>
      </c>
      <c r="F14" s="27">
        <v>7.66242</v>
      </c>
      <c r="G14" s="27">
        <v>7.4451003</v>
      </c>
      <c r="H14" s="15" t="s">
        <v>1</v>
      </c>
      <c r="I14" s="27">
        <f>IF(Table11112[[#This Row],[Inclusion Flag]]="Y",(Table11112[[#This Row],[Test_Volume]]+Table11112[[#This Row],[ReTest_Volume]])/2,"")</f>
        <v>7.5537601500000005</v>
      </c>
      <c r="J14" s="27">
        <f>IF(Table11112[[#This Row],[Inclusion Flag]]="Y",(Table11112[[#This Row],[ReTest_Volume]]-Table11112[[#This Row],[Test_Volume]]),"")</f>
        <v>-0.2173197</v>
      </c>
      <c r="K14" s="27">
        <f>IF(Table11112[[#This Row],[Inclusion Flag]]="Y",(Table11112[[#This Row],[Difference_Volume]]^2)/2,"")</f>
        <v>2.3613926004045001E-2</v>
      </c>
      <c r="L14" s="27">
        <f>IF(Table11112[[#This Row],[Inclusion Flag]]="Y",Table11112[[#This Row],[Pair_Variance V is sq(Diff)/2]]/(Table11112[[#This Row],[Average_Volume]]^2),"")</f>
        <v>4.1384891065529865E-4</v>
      </c>
      <c r="N14" s="13">
        <v>7.304852973</v>
      </c>
      <c r="O14" s="13">
        <v>7.1671328430000001</v>
      </c>
      <c r="P14" s="15" t="s">
        <v>1</v>
      </c>
      <c r="Q14" s="27">
        <f>IF(Table11112[[#This Row],[Inclusion Flag2]]="Y",(Table11112[[#This Row],[Test_Volume2]]+Table11112[[#This Row],[ReTest_Volume2]])/2,"")</f>
        <v>7.2359929080000001</v>
      </c>
      <c r="R14" s="27">
        <f>IF(Table11112[[#This Row],[Inclusion Flag2]]="Y",(Table11112[[#This Row],[ReTest_Volume2]]-Table11112[[#This Row],[Test_Volume2]]),"")</f>
        <v>-0.13772012999999994</v>
      </c>
      <c r="S14" s="27">
        <f>IF(Table11112[[#This Row],[Inclusion Flag2]]="Y",(Table11112[[#This Row],[Difference_Volume2]]^2)/2,"")</f>
        <v>9.4834171036084422E-3</v>
      </c>
      <c r="T14" s="27">
        <f>IF(Table11112[[#This Row],[Inclusion Flag2]]="Y",Table11112[[#This Row],[Pair_Variance2 V is sq(Diff)/2]]/(Table11112[[#This Row],[Average_Volume2]]^2),"")</f>
        <v>1.8112090820810993E-4</v>
      </c>
      <c r="Y14" s="15"/>
    </row>
    <row r="15" spans="5:31" x14ac:dyDescent="0.4">
      <c r="E15" s="13" t="s">
        <v>54</v>
      </c>
      <c r="F15" s="27">
        <v>7.9561810800000003</v>
      </c>
      <c r="G15" s="27">
        <v>8.2012976999999996</v>
      </c>
      <c r="H15" s="15" t="s">
        <v>1</v>
      </c>
      <c r="I15" s="27">
        <f>IF(Table11112[[#This Row],[Inclusion Flag]]="Y",(Table11112[[#This Row],[Test_Volume]]+Table11112[[#This Row],[ReTest_Volume]])/2,"")</f>
        <v>8.0787393899999991</v>
      </c>
      <c r="J15" s="27">
        <f>IF(Table11112[[#This Row],[Inclusion Flag]]="Y",(Table11112[[#This Row],[ReTest_Volume]]-Table11112[[#This Row],[Test_Volume]]),"")</f>
        <v>0.24511661999999923</v>
      </c>
      <c r="K15" s="27">
        <f>IF(Table11112[[#This Row],[Inclusion Flag]]="Y",(Table11112[[#This Row],[Difference_Volume]]^2)/2,"")</f>
        <v>3.0041078700112012E-2</v>
      </c>
      <c r="L15" s="27">
        <f>IF(Table11112[[#This Row],[Inclusion Flag]]="Y",Table11112[[#This Row],[Pair_Variance V is sq(Diff)/2]]/(Table11112[[#This Row],[Average_Volume]]^2),"")</f>
        <v>4.6028659380028224E-4</v>
      </c>
      <c r="N15" s="13">
        <v>7.7824515458196313</v>
      </c>
      <c r="O15" s="13">
        <v>7.790032470598808</v>
      </c>
      <c r="P15" s="15" t="s">
        <v>1</v>
      </c>
      <c r="Q15" s="27">
        <f>IF(Table11112[[#This Row],[Inclusion Flag2]]="Y",(Table11112[[#This Row],[Test_Volume2]]+Table11112[[#This Row],[ReTest_Volume2]])/2,"")</f>
        <v>7.7862420082092196</v>
      </c>
      <c r="R15" s="27">
        <f>IF(Table11112[[#This Row],[Inclusion Flag2]]="Y",(Table11112[[#This Row],[ReTest_Volume2]]-Table11112[[#This Row],[Test_Volume2]]),"")</f>
        <v>7.580924779176712E-3</v>
      </c>
      <c r="S15" s="27">
        <f>IF(Table11112[[#This Row],[Inclusion Flag2]]="Y",(Table11112[[#This Row],[Difference_Volume2]]^2)/2,"")</f>
        <v>2.873521025376774E-5</v>
      </c>
      <c r="T15" s="27">
        <f>IF(Table11112[[#This Row],[Inclusion Flag2]]="Y",Table11112[[#This Row],[Pair_Variance2 V is sq(Diff)/2]]/(Table11112[[#This Row],[Average_Volume2]]^2),"")</f>
        <v>4.7397843530907819E-7</v>
      </c>
      <c r="Y15" s="15"/>
    </row>
    <row r="16" spans="5:31" x14ac:dyDescent="0.4">
      <c r="E16" s="13" t="s">
        <v>55</v>
      </c>
      <c r="F16" s="27">
        <v>7.6283063799999997</v>
      </c>
      <c r="G16" s="27">
        <v>7.6523110000000001</v>
      </c>
      <c r="H16" s="15" t="s">
        <v>1</v>
      </c>
      <c r="I16" s="27">
        <f>IF(Table11112[[#This Row],[Inclusion Flag]]="Y",(Table11112[[#This Row],[Test_Volume]]+Table11112[[#This Row],[ReTest_Volume]])/2,"")</f>
        <v>7.6403086899999995</v>
      </c>
      <c r="J16" s="27">
        <f>IF(Table11112[[#This Row],[Inclusion Flag]]="Y",(Table11112[[#This Row],[ReTest_Volume]]-Table11112[[#This Row],[Test_Volume]]),"")</f>
        <v>2.4004620000000365E-2</v>
      </c>
      <c r="K16" s="27">
        <f>IF(Table11112[[#This Row],[Inclusion Flag]]="Y",(Table11112[[#This Row],[Difference_Volume]]^2)/2,"")</f>
        <v>2.8811089067220879E-4</v>
      </c>
      <c r="L16" s="27">
        <f>IF(Table11112[[#This Row],[Inclusion Flag]]="Y",Table11112[[#This Row],[Pair_Variance V is sq(Diff)/2]]/(Table11112[[#This Row],[Average_Volume]]^2),"")</f>
        <v>4.935576227331843E-6</v>
      </c>
      <c r="N16" s="13">
        <v>7.0742670296499996</v>
      </c>
      <c r="O16" s="13">
        <v>7.2789520023500005</v>
      </c>
      <c r="P16" s="15" t="s">
        <v>1</v>
      </c>
      <c r="Q16" s="27">
        <f>IF(Table11112[[#This Row],[Inclusion Flag2]]="Y",(Table11112[[#This Row],[Test_Volume2]]+Table11112[[#This Row],[ReTest_Volume2]])/2,"")</f>
        <v>7.1766095160000001</v>
      </c>
      <c r="R16" s="27">
        <f>IF(Table11112[[#This Row],[Inclusion Flag2]]="Y",(Table11112[[#This Row],[ReTest_Volume2]]-Table11112[[#This Row],[Test_Volume2]]),"")</f>
        <v>0.20468497270000086</v>
      </c>
      <c r="S16" s="27">
        <f>IF(Table11112[[#This Row],[Inclusion Flag2]]="Y",(Table11112[[#This Row],[Difference_Volume2]]^2)/2,"")</f>
        <v>2.0947969024600048E-2</v>
      </c>
      <c r="T16" s="27">
        <f>IF(Table11112[[#This Row],[Inclusion Flag2]]="Y",Table11112[[#This Row],[Pair_Variance2 V is sq(Diff)/2]]/(Table11112[[#This Row],[Average_Volume2]]^2),"")</f>
        <v>4.0672726821786595E-4</v>
      </c>
      <c r="Y16" s="15"/>
    </row>
    <row r="17" spans="5:30" x14ac:dyDescent="0.4">
      <c r="E17" s="13" t="s">
        <v>55</v>
      </c>
      <c r="F17" s="27">
        <v>7.8184604599999998</v>
      </c>
      <c r="G17" s="27">
        <v>8.1280155000000001</v>
      </c>
      <c r="H17" s="15" t="s">
        <v>1</v>
      </c>
      <c r="I17" s="27">
        <f>IF(Table11112[[#This Row],[Inclusion Flag]]="Y",(Table11112[[#This Row],[Test_Volume]]+Table11112[[#This Row],[ReTest_Volume]])/2,"")</f>
        <v>7.9732379800000004</v>
      </c>
      <c r="J17" s="27">
        <f>IF(Table11112[[#This Row],[Inclusion Flag]]="Y",(Table11112[[#This Row],[ReTest_Volume]]-Table11112[[#This Row],[Test_Volume]]),"")</f>
        <v>0.30955504000000023</v>
      </c>
      <c r="K17" s="27">
        <f>IF(Table11112[[#This Row],[Inclusion Flag]]="Y",(Table11112[[#This Row],[Difference_Volume]]^2)/2,"")</f>
        <v>4.7912161394700871E-2</v>
      </c>
      <c r="L17" s="27">
        <f>IF(Table11112[[#This Row],[Inclusion Flag]]="Y",Table11112[[#This Row],[Pair_Variance V is sq(Diff)/2]]/(Table11112[[#This Row],[Average_Volume]]^2),"")</f>
        <v>7.5366146357243042E-4</v>
      </c>
      <c r="N17" s="13">
        <v>7.8690007368600003</v>
      </c>
      <c r="O17" s="13">
        <v>7.9530226548599998</v>
      </c>
      <c r="P17" s="15" t="s">
        <v>1</v>
      </c>
      <c r="Q17" s="27">
        <f>IF(Table11112[[#This Row],[Inclusion Flag2]]="Y",(Table11112[[#This Row],[Test_Volume2]]+Table11112[[#This Row],[ReTest_Volume2]])/2,"")</f>
        <v>7.9110116958600001</v>
      </c>
      <c r="R17" s="27">
        <f>IF(Table11112[[#This Row],[Inclusion Flag2]]="Y",(Table11112[[#This Row],[ReTest_Volume2]]-Table11112[[#This Row],[Test_Volume2]]),"")</f>
        <v>8.4021917999999474E-2</v>
      </c>
      <c r="S17" s="27">
        <f>IF(Table11112[[#This Row],[Inclusion Flag2]]="Y",(Table11112[[#This Row],[Difference_Volume2]]^2)/2,"")</f>
        <v>3.5298413521993176E-3</v>
      </c>
      <c r="T17" s="27">
        <f>IF(Table11112[[#This Row],[Inclusion Flag2]]="Y",Table11112[[#This Row],[Pair_Variance2 V is sq(Diff)/2]]/(Table11112[[#This Row],[Average_Volume2]]^2),"")</f>
        <v>5.6401562231543824E-5</v>
      </c>
      <c r="Y17" s="15"/>
    </row>
    <row r="18" spans="5:30" ht="15.9" x14ac:dyDescent="0.45">
      <c r="E18" s="13" t="s">
        <v>58</v>
      </c>
      <c r="F18" s="27">
        <v>8.0225142999999992</v>
      </c>
      <c r="G18" s="43">
        <v>8.1665515000000006</v>
      </c>
      <c r="H18" s="15" t="s">
        <v>1</v>
      </c>
      <c r="I18" s="27">
        <f>IF(Table11112[[#This Row],[Inclusion Flag]]="Y",(Table11112[[#This Row],[Test_Volume]]+Table11112[[#This Row],[ReTest_Volume]])/2,"")</f>
        <v>8.0945329000000008</v>
      </c>
      <c r="J18" s="27">
        <f>IF(Table11112[[#This Row],[Inclusion Flag]]="Y",(Table11112[[#This Row],[ReTest_Volume]]-Table11112[[#This Row],[Test_Volume]]),"")</f>
        <v>0.14403720000000142</v>
      </c>
      <c r="K18" s="27">
        <f>IF(Table11112[[#This Row],[Inclusion Flag]]="Y",(Table11112[[#This Row],[Difference_Volume]]^2)/2,"")</f>
        <v>1.0373357491920204E-2</v>
      </c>
      <c r="L18" s="27">
        <f>IF(Table11112[[#This Row],[Inclusion Flag]]="Y",Table11112[[#This Row],[Pair_Variance V is sq(Diff)/2]]/(Table11112[[#This Row],[Average_Volume]]^2),"")</f>
        <v>1.5831999222348317E-4</v>
      </c>
      <c r="N18" s="13">
        <v>7.9669208824899993</v>
      </c>
      <c r="O18" s="13">
        <v>8.4735793768899992</v>
      </c>
      <c r="P18" s="15" t="s">
        <v>1</v>
      </c>
      <c r="Q18" s="27">
        <f>IF(Table11112[[#This Row],[Inclusion Flag2]]="Y",(Table11112[[#This Row],[Test_Volume2]]+Table11112[[#This Row],[ReTest_Volume2]])/2,"")</f>
        <v>8.2202501296899992</v>
      </c>
      <c r="R18" s="27">
        <f>IF(Table11112[[#This Row],[Inclusion Flag2]]="Y",(Table11112[[#This Row],[ReTest_Volume2]]-Table11112[[#This Row],[Test_Volume2]]),"")</f>
        <v>0.50665849439999988</v>
      </c>
      <c r="S18" s="27">
        <f>IF(Table11112[[#This Row],[Inclusion Flag2]]="Y",(Table11112[[#This Row],[Difference_Volume2]]^2)/2,"")</f>
        <v>0.12835141497383737</v>
      </c>
      <c r="T18" s="27">
        <f>IF(Table11112[[#This Row],[Inclusion Flag2]]="Y",Table11112[[#This Row],[Pair_Variance2 V is sq(Diff)/2]]/(Table11112[[#This Row],[Average_Volume2]]^2),"")</f>
        <v>1.8994619380743468E-3</v>
      </c>
      <c r="Y18" s="15"/>
    </row>
    <row r="19" spans="5:30" x14ac:dyDescent="0.4">
      <c r="E19" s="13" t="s">
        <v>58</v>
      </c>
      <c r="F19" s="27">
        <v>8.4224081000000002</v>
      </c>
      <c r="G19" s="27">
        <v>8.7155369999999994</v>
      </c>
      <c r="H19" s="15" t="s">
        <v>1</v>
      </c>
      <c r="I19" s="27">
        <f>IF(Table11112[[#This Row],[Inclusion Flag]]="Y",(Table11112[[#This Row],[Test_Volume]]+Table11112[[#This Row],[ReTest_Volume]])/2,"")</f>
        <v>8.5689725499999998</v>
      </c>
      <c r="J19" s="27">
        <f>IF(Table11112[[#This Row],[Inclusion Flag]]="Y",(Table11112[[#This Row],[ReTest_Volume]]-Table11112[[#This Row],[Test_Volume]]),"")</f>
        <v>0.29312889999999925</v>
      </c>
      <c r="K19" s="27">
        <f>IF(Table11112[[#This Row],[Inclusion Flag]]="Y",(Table11112[[#This Row],[Difference_Volume]]^2)/2,"")</f>
        <v>4.2962276007604779E-2</v>
      </c>
      <c r="L19" s="27">
        <f>IF(Table11112[[#This Row],[Inclusion Flag]]="Y",Table11112[[#This Row],[Pair_Variance V is sq(Diff)/2]]/(Table11112[[#This Row],[Average_Volume]]^2),"")</f>
        <v>5.8509956827218414E-4</v>
      </c>
      <c r="N19" s="13">
        <v>8.5986643285</v>
      </c>
      <c r="O19" s="13">
        <v>9.064259483499999</v>
      </c>
      <c r="P19" s="15" t="s">
        <v>1</v>
      </c>
      <c r="Q19" s="27">
        <f>IF(Table11112[[#This Row],[Inclusion Flag2]]="Y",(Table11112[[#This Row],[Test_Volume2]]+Table11112[[#This Row],[ReTest_Volume2]])/2,"")</f>
        <v>8.8314619059999995</v>
      </c>
      <c r="R19" s="27">
        <f>IF(Table11112[[#This Row],[Inclusion Flag2]]="Y",(Table11112[[#This Row],[ReTest_Volume2]]-Table11112[[#This Row],[Test_Volume2]]),"")</f>
        <v>0.46559515499999904</v>
      </c>
      <c r="S19" s="27">
        <f>IF(Table11112[[#This Row],[Inclusion Flag2]]="Y",(Table11112[[#This Row],[Difference_Volume2]]^2)/2,"")</f>
        <v>0.10838942417973657</v>
      </c>
      <c r="T19" s="27">
        <f>IF(Table11112[[#This Row],[Inclusion Flag2]]="Y",Table11112[[#This Row],[Pair_Variance2 V is sq(Diff)/2]]/(Table11112[[#This Row],[Average_Volume2]]^2),"")</f>
        <v>1.3897020851866312E-3</v>
      </c>
      <c r="Y19" s="15"/>
    </row>
    <row r="20" spans="5:30" x14ac:dyDescent="0.4">
      <c r="E20" s="13" t="s">
        <v>58</v>
      </c>
      <c r="F20" s="27">
        <v>8.8096599999999992</v>
      </c>
      <c r="G20" s="27">
        <v>8.4855820000000008</v>
      </c>
      <c r="H20" s="15" t="s">
        <v>1</v>
      </c>
      <c r="I20" s="27">
        <f>IF(Table11112[[#This Row],[Inclusion Flag]]="Y",(Table11112[[#This Row],[Test_Volume]]+Table11112[[#This Row],[ReTest_Volume]])/2,"")</f>
        <v>8.6476210000000009</v>
      </c>
      <c r="J20" s="27">
        <f>IF(Table11112[[#This Row],[Inclusion Flag]]="Y",(Table11112[[#This Row],[ReTest_Volume]]-Table11112[[#This Row],[Test_Volume]]),"")</f>
        <v>-0.32407799999999831</v>
      </c>
      <c r="K20" s="27">
        <f>IF(Table11112[[#This Row],[Inclusion Flag]]="Y",(Table11112[[#This Row],[Difference_Volume]]^2)/2,"")</f>
        <v>5.2513275041999451E-2</v>
      </c>
      <c r="L20" s="27">
        <f>IF(Table11112[[#This Row],[Inclusion Flag]]="Y",Table11112[[#This Row],[Pair_Variance V is sq(Diff)/2]]/(Table11112[[#This Row],[Average_Volume]]^2),"")</f>
        <v>7.0222422800022644E-4</v>
      </c>
      <c r="N20" s="13">
        <v>8.1747643948000004</v>
      </c>
      <c r="O20" s="13">
        <v>8.4186174867999988</v>
      </c>
      <c r="P20" s="15" t="s">
        <v>1</v>
      </c>
      <c r="Q20" s="27">
        <f>IF(Table11112[[#This Row],[Inclusion Flag2]]="Y",(Table11112[[#This Row],[Test_Volume2]]+Table11112[[#This Row],[ReTest_Volume2]])/2,"")</f>
        <v>8.2966909407999996</v>
      </c>
      <c r="R20" s="27">
        <f>IF(Table11112[[#This Row],[Inclusion Flag2]]="Y",(Table11112[[#This Row],[ReTest_Volume2]]-Table11112[[#This Row],[Test_Volume2]]),"")</f>
        <v>0.24385309199999838</v>
      </c>
      <c r="S20" s="27">
        <f>IF(Table11112[[#This Row],[Inclusion Flag2]]="Y",(Table11112[[#This Row],[Difference_Volume2]]^2)/2,"")</f>
        <v>2.9732165238979837E-2</v>
      </c>
      <c r="T20" s="27">
        <f>IF(Table11112[[#This Row],[Inclusion Flag2]]="Y",Table11112[[#This Row],[Pair_Variance2 V is sq(Diff)/2]]/(Table11112[[#This Row],[Average_Volume2]]^2),"")</f>
        <v>4.3193332518837266E-4</v>
      </c>
      <c r="Y20" s="15"/>
    </row>
    <row r="21" spans="5:30" x14ac:dyDescent="0.4">
      <c r="E21" s="13" t="s">
        <v>58</v>
      </c>
      <c r="F21" s="13">
        <v>8.48874</v>
      </c>
      <c r="G21" s="13">
        <v>8.7161679999999997</v>
      </c>
      <c r="H21" s="15" t="s">
        <v>1</v>
      </c>
      <c r="I21" s="27">
        <f>IF(Table11112[[#This Row],[Inclusion Flag]]="Y",(Table11112[[#This Row],[Test_Volume]]+Table11112[[#This Row],[ReTest_Volume]])/2,"")</f>
        <v>8.6024539999999998</v>
      </c>
      <c r="J21" s="27">
        <f>IF(Table11112[[#This Row],[Inclusion Flag]]="Y",(Table11112[[#This Row],[ReTest_Volume]]-Table11112[[#This Row],[Test_Volume]]),"")</f>
        <v>0.22742799999999974</v>
      </c>
      <c r="K21" s="27">
        <f>IF(Table11112[[#This Row],[Inclusion Flag]]="Y",(Table11112[[#This Row],[Difference_Volume]]^2)/2,"")</f>
        <v>2.586174759199994E-2</v>
      </c>
      <c r="L21" s="27">
        <f>IF(Table11112[[#This Row],[Inclusion Flag]]="Y",Table11112[[#This Row],[Pair_Variance V is sq(Diff)/2]]/(Table11112[[#This Row],[Average_Volume]]^2),"")</f>
        <v>3.4947261584218154E-4</v>
      </c>
      <c r="N21" s="13">
        <v>8.0136690000000002</v>
      </c>
      <c r="O21" s="13">
        <v>9.2089290599999991</v>
      </c>
      <c r="P21" s="15" t="s">
        <v>1</v>
      </c>
      <c r="Q21" s="27">
        <f>IF(Table11112[[#This Row],[Inclusion Flag2]]="Y",(Table11112[[#This Row],[Test_Volume2]]+Table11112[[#This Row],[ReTest_Volume2]])/2,"")</f>
        <v>8.6112990299999996</v>
      </c>
      <c r="R21" s="27">
        <f>IF(Table11112[[#This Row],[Inclusion Flag2]]="Y",(Table11112[[#This Row],[ReTest_Volume2]]-Table11112[[#This Row],[Test_Volume2]]),"")</f>
        <v>1.195260059999999</v>
      </c>
      <c r="S21" s="27">
        <f>IF(Table11112[[#This Row],[Inclusion Flag2]]="Y",(Table11112[[#This Row],[Difference_Volume2]]^2)/2,"")</f>
        <v>0.71432330551560053</v>
      </c>
      <c r="T21" s="27">
        <f>IF(Table11112[[#This Row],[Inclusion Flag2]]="Y",Table11112[[#This Row],[Pair_Variance2 V is sq(Diff)/2]]/(Table11112[[#This Row],[Average_Volume2]]^2),"")</f>
        <v>9.6329094663620031E-3</v>
      </c>
      <c r="AB21" s="13" t="str">
        <f>IF(Table11112[[#This Row],[Average_Volume2]]="Y",Table11112[[#This Row],[Inclusion Flag2]]-Table11112[[#This Row],[ReTest_Volume2]],"")</f>
        <v/>
      </c>
      <c r="AC21" s="13" t="str">
        <f>IF(Table11112[[#This Row],[Average_Volume2]]="Y",(Table11112[[#This Row],[Pair_Variance2 V is sq(Diff)/2]]^2)/2,"")</f>
        <v/>
      </c>
      <c r="AD21" s="13" t="str">
        <f>IF(Table11112[[#This Row],[Average_Volume2]]="Y",Table11112[[#This Row],[Pairwise_wCV2   is V/M^2]]/(Table11112[[#This Row],[Difference_Volume2]]^2),"")</f>
        <v/>
      </c>
    </row>
    <row r="22" spans="5:30" x14ac:dyDescent="0.4">
      <c r="H22" s="15"/>
      <c r="Q22" s="44" t="str">
        <f>IF(Table11112[[#This Row],[Inclusion Flag2]]="Y",(Table11112[[#This Row],[Test_Volume2]]+Table11112[[#This Row],[ReTest_Volume2]])/2,"")</f>
        <v/>
      </c>
      <c r="R22" s="27" t="str">
        <f>IF(Table11112[[#This Row],[Inclusion Flag2]]="Y",(Table11112[[#This Row],[ReTest_Volume2]]-Table11112[[#This Row],[Test_Volume2]]),"")</f>
        <v/>
      </c>
      <c r="S22" s="27" t="str">
        <f>IF(Table11112[[#This Row],[Inclusion Flag2]]="Y",(Table11112[[#This Row],[Difference_Volume2]]^2)/2,"")</f>
        <v/>
      </c>
      <c r="T22" s="27" t="str">
        <f>IF(Table11112[[#This Row],[Inclusion Flag2]]="Y",Table11112[[#This Row],[Pair_Variance2 V is sq(Diff)/2]]/(Table11112[[#This Row],[Average_Volume2]]^2),"")</f>
        <v/>
      </c>
      <c r="Y22" s="15"/>
      <c r="AB22" s="13" t="str">
        <f>IF(Table11112[[#This Row],[Average_Volume2]]="Y",Table11112[[#This Row],[Inclusion Flag2]]-Table11112[[#This Row],[ReTest_Volume2]],"")</f>
        <v/>
      </c>
      <c r="AC22" s="13" t="str">
        <f>IF(Table11112[[#This Row],[Average_Volume2]]="Y",(Table11112[[#This Row],[Pair_Variance2 V is sq(Diff)/2]]^2)/2,"")</f>
        <v/>
      </c>
      <c r="AD22" s="13" t="str">
        <f>IF(Table11112[[#This Row],[Average_Volume2]]="Y",Table11112[[#This Row],[Pairwise_wCV2   is V/M^2]]/(Table11112[[#This Row],[Difference_Volume2]]^2),"")</f>
        <v/>
      </c>
    </row>
    <row r="23" spans="5:30" ht="15" thickBot="1" x14ac:dyDescent="0.45"/>
    <row r="24" spans="5:30" x14ac:dyDescent="0.4">
      <c r="F24" s="19" t="s">
        <v>7</v>
      </c>
      <c r="G24" s="20"/>
      <c r="H24" s="21"/>
      <c r="I24" s="21" t="s">
        <v>18</v>
      </c>
      <c r="J24" s="20" t="s">
        <v>19</v>
      </c>
      <c r="K24" s="20"/>
      <c r="L24" s="22"/>
      <c r="O24" s="19" t="s">
        <v>7</v>
      </c>
      <c r="P24" s="20"/>
      <c r="Q24" s="21"/>
      <c r="R24" s="21" t="s">
        <v>18</v>
      </c>
      <c r="S24" s="20" t="s">
        <v>19</v>
      </c>
      <c r="T24" s="20"/>
      <c r="U24" s="22"/>
      <c r="Y24" s="15"/>
      <c r="Z24" s="15"/>
    </row>
    <row r="25" spans="5:30" x14ac:dyDescent="0.4">
      <c r="F25" s="23" t="s">
        <v>8</v>
      </c>
      <c r="G25" s="13">
        <f>COUNT(I6:I21)</f>
        <v>16</v>
      </c>
      <c r="H25" s="24"/>
      <c r="I25" s="15" t="s">
        <v>20</v>
      </c>
      <c r="J25" s="15" t="s">
        <v>21</v>
      </c>
      <c r="L25" s="25"/>
      <c r="O25" s="23" t="s">
        <v>8</v>
      </c>
      <c r="P25" s="13">
        <f>COUNT(Q6:Q21)</f>
        <v>16</v>
      </c>
      <c r="Q25" s="24"/>
      <c r="R25" s="15" t="s">
        <v>20</v>
      </c>
      <c r="S25" s="15" t="s">
        <v>21</v>
      </c>
      <c r="U25" s="25"/>
      <c r="W25" s="26"/>
      <c r="Y25" s="24"/>
      <c r="Z25" s="15"/>
      <c r="AA25" s="15"/>
    </row>
    <row r="26" spans="5:30" x14ac:dyDescent="0.4">
      <c r="F26" s="23" t="s">
        <v>9</v>
      </c>
      <c r="G26" s="27">
        <f>AVERAGE(L6:L21)</f>
        <v>5.3787757759501493E-3</v>
      </c>
      <c r="H26" s="24" t="s">
        <v>15</v>
      </c>
      <c r="I26" s="27">
        <f>(G25-1)/_xlfn.CHISQ.INV(0.975,G25-1)</f>
        <v>0.54568486686424722</v>
      </c>
      <c r="J26" s="27">
        <f>(G25-1)/_xlfn.CHISQ.INV(0.025,G25-1)</f>
        <v>2.3953481208722591</v>
      </c>
      <c r="L26" s="25"/>
      <c r="O26" s="23" t="s">
        <v>9</v>
      </c>
      <c r="P26" s="27">
        <f>AVERAGE(T6:T21)</f>
        <v>5.6224364982438539E-3</v>
      </c>
      <c r="Q26" s="24" t="s">
        <v>15</v>
      </c>
      <c r="R26" s="27">
        <f>(P25-1)/_xlfn.CHISQ.INV(0.975,P25-1)</f>
        <v>0.54568486686424722</v>
      </c>
      <c r="S26" s="27">
        <f>(P25-1)/_xlfn.CHISQ.INV(0.025,P25-1)</f>
        <v>2.3953481208722591</v>
      </c>
      <c r="U26" s="25"/>
      <c r="W26" s="26"/>
      <c r="Y26" s="24"/>
    </row>
    <row r="27" spans="5:30" x14ac:dyDescent="0.4">
      <c r="F27" s="23" t="s">
        <v>10</v>
      </c>
      <c r="G27" s="27">
        <f>100*SQRT(G26)</f>
        <v>7.3340137550662865</v>
      </c>
      <c r="H27" s="24" t="s">
        <v>16</v>
      </c>
      <c r="I27" s="27">
        <f>G27*SQRT(I$26)</f>
        <v>5.4176715876767538</v>
      </c>
      <c r="J27" s="27">
        <f>G27*SQRT(J$26)</f>
        <v>11.350788715994769</v>
      </c>
      <c r="K27" s="13" t="s">
        <v>22</v>
      </c>
      <c r="L27" s="25"/>
      <c r="O27" s="23" t="s">
        <v>10</v>
      </c>
      <c r="P27" s="27">
        <f>100*SQRT(P26)</f>
        <v>7.4982908040725214</v>
      </c>
      <c r="Q27" s="24" t="s">
        <v>16</v>
      </c>
      <c r="R27" s="27">
        <f>P27*SQRT(R$26)</f>
        <v>5.5390238417945827</v>
      </c>
      <c r="S27" s="27">
        <f>P27*SQRT(S$26)</f>
        <v>11.605038862835411</v>
      </c>
      <c r="T27" s="13" t="s">
        <v>22</v>
      </c>
      <c r="U27" s="25"/>
      <c r="W27" s="26"/>
      <c r="Y27" s="24"/>
    </row>
    <row r="28" spans="5:30" x14ac:dyDescent="0.4">
      <c r="F28" s="23" t="s">
        <v>11</v>
      </c>
      <c r="G28" s="27">
        <f>AVERAGE(K6:K21)</f>
        <v>0.14184308112289104</v>
      </c>
      <c r="H28" s="24" t="s">
        <v>44</v>
      </c>
      <c r="I28" s="27"/>
      <c r="J28" s="27"/>
      <c r="L28" s="25"/>
      <c r="O28" s="23" t="s">
        <v>11</v>
      </c>
      <c r="P28" s="27">
        <f>AVERAGE(S6:S21)</f>
        <v>0.25487116998830844</v>
      </c>
      <c r="Q28" s="24" t="s">
        <v>44</v>
      </c>
      <c r="R28" s="27"/>
      <c r="S28" s="27"/>
      <c r="U28" s="25"/>
      <c r="W28" s="26"/>
      <c r="Y28" s="24"/>
    </row>
    <row r="29" spans="5:30" x14ac:dyDescent="0.4">
      <c r="F29" s="23" t="s">
        <v>17</v>
      </c>
      <c r="G29" s="27">
        <f>SQRT(G28)</f>
        <v>0.37662060634395861</v>
      </c>
      <c r="H29" s="24" t="s">
        <v>44</v>
      </c>
      <c r="I29" s="27">
        <f>G29*SQRT(I$26)</f>
        <v>0.2782114714352365</v>
      </c>
      <c r="J29" s="27">
        <f>G29*SQRT(J$26)</f>
        <v>0.58289240673253628</v>
      </c>
      <c r="K29" s="13" t="s">
        <v>45</v>
      </c>
      <c r="L29" s="25"/>
      <c r="O29" s="23" t="s">
        <v>17</v>
      </c>
      <c r="P29" s="27">
        <f>SQRT(P28)</f>
        <v>0.50484767008307407</v>
      </c>
      <c r="Q29" s="24" t="s">
        <v>44</v>
      </c>
      <c r="R29" s="27">
        <f>P29*SQRT(R$26)</f>
        <v>0.3729334263144094</v>
      </c>
      <c r="S29" s="27">
        <f>P29*SQRT(S$26)</f>
        <v>0.781348307796215</v>
      </c>
      <c r="T29" s="13" t="s">
        <v>45</v>
      </c>
      <c r="U29" s="25"/>
      <c r="W29" s="26"/>
      <c r="Y29" s="24"/>
    </row>
    <row r="30" spans="5:30" x14ac:dyDescent="0.4">
      <c r="F30" s="23" t="s">
        <v>12</v>
      </c>
      <c r="G30" s="27">
        <f>1.96 * SQRT(2*G28)</f>
        <v>1.0439390599471774</v>
      </c>
      <c r="H30" s="24" t="s">
        <v>44</v>
      </c>
      <c r="I30" s="27">
        <f>G30*SQRT(I$26)</f>
        <v>0.77116285477851332</v>
      </c>
      <c r="J30" s="27">
        <f>G30*SQRT(J$26)</f>
        <v>1.6156953201306763</v>
      </c>
      <c r="K30" s="13" t="s">
        <v>46</v>
      </c>
      <c r="L30" s="25"/>
      <c r="O30" s="23" t="s">
        <v>12</v>
      </c>
      <c r="P30" s="27">
        <f>1.96 * SQRT(2*P28)</f>
        <v>1.3993663470493247</v>
      </c>
      <c r="Q30" s="24" t="s">
        <v>44</v>
      </c>
      <c r="R30" s="27">
        <f>P30*SQRT(R$26)</f>
        <v>1.0337187183379659</v>
      </c>
      <c r="S30" s="27">
        <f>P30*SQRT(S$26)</f>
        <v>2.1657870126924426</v>
      </c>
      <c r="T30" s="13" t="s">
        <v>46</v>
      </c>
      <c r="U30" s="25"/>
      <c r="W30" s="26"/>
      <c r="Y30" s="24"/>
    </row>
    <row r="31" spans="5:30" x14ac:dyDescent="0.4">
      <c r="F31" s="23" t="s">
        <v>13</v>
      </c>
      <c r="G31" s="27">
        <f>AVERAGE(I6:I21)</f>
        <v>7.7509230793750001</v>
      </c>
      <c r="H31" s="24" t="s">
        <v>44</v>
      </c>
      <c r="L31" s="25"/>
      <c r="O31" s="23" t="s">
        <v>13</v>
      </c>
      <c r="P31" s="27">
        <f>AVERAGE(Q6:Q21)</f>
        <v>7.6345246662412007</v>
      </c>
      <c r="Q31" s="24" t="s">
        <v>44</v>
      </c>
      <c r="U31" s="25"/>
      <c r="W31" s="26"/>
      <c r="Y31" s="24"/>
    </row>
    <row r="32" spans="5:30" x14ac:dyDescent="0.4">
      <c r="F32" s="23" t="s">
        <v>14</v>
      </c>
      <c r="G32" s="27">
        <f>AVERAGE(J6:J21)</f>
        <v>-0.13025746124999982</v>
      </c>
      <c r="H32" s="24" t="s">
        <v>44</v>
      </c>
      <c r="L32" s="25"/>
      <c r="O32" s="23" t="s">
        <v>14</v>
      </c>
      <c r="P32" s="27">
        <f>AVERAGE(R6:R21)</f>
        <v>-9.0694668801301781E-2</v>
      </c>
      <c r="Q32" s="24" t="s">
        <v>44</v>
      </c>
      <c r="U32" s="25"/>
      <c r="W32" s="26"/>
      <c r="Y32" s="24"/>
    </row>
    <row r="33" spans="6:25" ht="15" thickBot="1" x14ac:dyDescent="0.45">
      <c r="F33" s="28" t="s">
        <v>23</v>
      </c>
      <c r="G33" s="29" t="s">
        <v>23</v>
      </c>
      <c r="H33" s="30"/>
      <c r="I33" s="31"/>
      <c r="J33" s="31"/>
      <c r="K33" s="31"/>
      <c r="L33" s="32"/>
      <c r="O33" s="28" t="s">
        <v>23</v>
      </c>
      <c r="P33" s="29" t="s">
        <v>23</v>
      </c>
      <c r="Q33" s="30"/>
      <c r="R33" s="31"/>
      <c r="S33" s="31"/>
      <c r="T33" s="31"/>
      <c r="U33" s="32"/>
      <c r="W33" s="26"/>
      <c r="X33" s="26"/>
      <c r="Y33" s="15"/>
    </row>
    <row r="34" spans="6:25" x14ac:dyDescent="0.4">
      <c r="H34" s="15"/>
      <c r="Q34" s="15"/>
      <c r="Y34" s="15"/>
    </row>
    <row r="35" spans="6:25" x14ac:dyDescent="0.4">
      <c r="H35" s="15"/>
      <c r="Q35" s="15"/>
      <c r="Y35" s="1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943D3-DE4A-4645-B55C-096F9FAAAE18}">
  <dimension ref="E2:AC27"/>
  <sheetViews>
    <sheetView topLeftCell="D2" zoomScale="118" zoomScaleNormal="118" workbookViewId="0">
      <pane xSplit="2" ySplit="8" topLeftCell="F10" activePane="bottomRight" state="frozen"/>
      <selection activeCell="D2" sqref="D2"/>
      <selection pane="topRight" activeCell="G2" sqref="G2"/>
      <selection pane="bottomLeft" activeCell="D5" sqref="D5"/>
      <selection pane="bottomRight" activeCell="V8" sqref="A1:XFD1048576"/>
    </sheetView>
  </sheetViews>
  <sheetFormatPr defaultRowHeight="14.6" x14ac:dyDescent="0.4"/>
  <cols>
    <col min="1" max="4" width="9.23046875" style="13"/>
    <col min="5" max="5" width="15.69140625" style="13" customWidth="1"/>
    <col min="6" max="6" width="15.15234375" style="13" customWidth="1"/>
    <col min="7" max="7" width="18.3828125" style="13" customWidth="1"/>
    <col min="8" max="8" width="17.15234375" style="13" customWidth="1"/>
    <col min="9" max="9" width="15.84375" style="13" customWidth="1"/>
    <col min="10" max="18" width="12.69140625" style="13" customWidth="1"/>
    <col min="19" max="19" width="16.84375" style="13" customWidth="1"/>
    <col min="20" max="29" width="12.69140625" style="13" customWidth="1"/>
    <col min="30" max="16384" width="9.23046875" style="13"/>
  </cols>
  <sheetData>
    <row r="2" spans="5:29" ht="23.25" customHeight="1" x14ac:dyDescent="0.4">
      <c r="N2" s="8" t="s">
        <v>117</v>
      </c>
      <c r="O2" s="8"/>
      <c r="P2" s="8"/>
      <c r="Q2" s="8" t="s">
        <v>119</v>
      </c>
      <c r="R2" s="8"/>
      <c r="S2" s="8"/>
    </row>
    <row r="3" spans="5:29" ht="23.25" customHeight="1" x14ac:dyDescent="0.5">
      <c r="F3" s="9"/>
      <c r="G3" s="11"/>
      <c r="H3" s="11"/>
      <c r="I3" s="11"/>
      <c r="J3" s="11"/>
      <c r="K3" s="11"/>
      <c r="L3" s="11"/>
      <c r="M3" s="11"/>
      <c r="N3" s="8"/>
      <c r="O3" s="8"/>
      <c r="P3" s="8"/>
      <c r="Q3" s="8"/>
      <c r="R3" s="8"/>
      <c r="S3" s="8"/>
    </row>
    <row r="4" spans="5:29" ht="23.25" customHeight="1" x14ac:dyDescent="0.5">
      <c r="F4" s="9"/>
      <c r="G4" s="9"/>
      <c r="H4" s="9"/>
      <c r="I4" s="9"/>
      <c r="J4" s="10"/>
      <c r="K4" s="10"/>
      <c r="N4" s="8"/>
      <c r="O4" s="8"/>
      <c r="P4" s="8"/>
      <c r="Q4" s="8"/>
      <c r="R4" s="8"/>
      <c r="S4" s="8"/>
    </row>
    <row r="5" spans="5:29" ht="23.25" customHeight="1" x14ac:dyDescent="0.5">
      <c r="F5" s="9"/>
      <c r="G5" s="11"/>
      <c r="H5" s="11"/>
      <c r="I5" s="11"/>
      <c r="J5" s="11"/>
      <c r="K5" s="11"/>
      <c r="L5" s="11"/>
      <c r="M5" s="11"/>
      <c r="N5" s="11"/>
      <c r="O5" s="11"/>
    </row>
    <row r="6" spans="5:29" ht="23.25" customHeight="1" x14ac:dyDescent="0.4">
      <c r="N6" s="8"/>
      <c r="O6" s="8"/>
      <c r="P6" s="8"/>
      <c r="Q6" s="8"/>
      <c r="R6" s="8"/>
      <c r="S6" s="8"/>
    </row>
    <row r="7" spans="5:29" ht="23.25" customHeight="1" x14ac:dyDescent="0.4">
      <c r="N7" s="8"/>
      <c r="O7" s="8"/>
      <c r="P7" s="8"/>
      <c r="Q7" s="8"/>
      <c r="R7" s="8"/>
      <c r="S7" s="8"/>
    </row>
    <row r="8" spans="5:29" ht="21" customHeight="1" x14ac:dyDescent="0.4">
      <c r="F8" s="11" t="s">
        <v>34</v>
      </c>
      <c r="G8" s="11"/>
      <c r="N8" s="11"/>
      <c r="O8" s="11"/>
      <c r="P8" s="11"/>
      <c r="Q8" s="11"/>
    </row>
    <row r="9" spans="5:29" x14ac:dyDescent="0.4">
      <c r="E9" s="13" t="s">
        <v>82</v>
      </c>
      <c r="F9" s="13" t="s">
        <v>83</v>
      </c>
      <c r="G9" s="13" t="s">
        <v>84</v>
      </c>
      <c r="H9" s="13" t="s">
        <v>90</v>
      </c>
      <c r="I9" s="13" t="s">
        <v>85</v>
      </c>
      <c r="J9" s="13" t="s">
        <v>86</v>
      </c>
      <c r="K9" s="13" t="s">
        <v>92</v>
      </c>
      <c r="L9" s="13" t="s">
        <v>91</v>
      </c>
      <c r="M9" s="13" t="s">
        <v>41</v>
      </c>
      <c r="N9" s="13" t="s">
        <v>0</v>
      </c>
      <c r="O9" s="13" t="s">
        <v>75</v>
      </c>
      <c r="P9" s="13" t="s">
        <v>76</v>
      </c>
      <c r="Q9" s="13" t="s">
        <v>77</v>
      </c>
      <c r="R9" s="13" t="s">
        <v>78</v>
      </c>
      <c r="S9" s="13" t="s">
        <v>79</v>
      </c>
      <c r="T9" s="13" t="s">
        <v>80</v>
      </c>
      <c r="U9" s="13" t="s">
        <v>93</v>
      </c>
      <c r="V9" s="13" t="s">
        <v>101</v>
      </c>
      <c r="W9" s="13" t="s">
        <v>94</v>
      </c>
      <c r="X9" s="13" t="s">
        <v>102</v>
      </c>
      <c r="Y9" s="13" t="s">
        <v>103</v>
      </c>
      <c r="Z9" s="13" t="s">
        <v>104</v>
      </c>
      <c r="AA9" s="13" t="s">
        <v>105</v>
      </c>
      <c r="AB9" s="13" t="s">
        <v>106</v>
      </c>
      <c r="AC9" s="13" t="s">
        <v>43</v>
      </c>
    </row>
    <row r="10" spans="5:29" x14ac:dyDescent="0.4">
      <c r="E10" s="13" t="s">
        <v>62</v>
      </c>
      <c r="F10" s="45">
        <v>6.8760000000000003</v>
      </c>
      <c r="G10" s="45">
        <v>5.976</v>
      </c>
      <c r="H10" s="15" t="s">
        <v>1</v>
      </c>
      <c r="I10" s="27">
        <f>IF(Table136[[#This Row],[Inclusion Flag]]="Y",(Table136[[#This Row],[Test_Volume]]+Table136[[#This Row],[ReTest_Volume]])/2,"")</f>
        <v>6.4260000000000002</v>
      </c>
      <c r="J10" s="27">
        <f>IF(Table136[[#This Row],[Inclusion Flag]]="Y",(Table136[[#This Row],[ReTest_Volume]]-Table136[[#This Row],[Test_Volume]]),"")</f>
        <v>-0.90000000000000036</v>
      </c>
      <c r="K10" s="27">
        <f>IF(Table136[[#This Row],[Inclusion Flag]]="Y",(Table136[[#This Row],[Difference_Volume]]^2)/2,"")</f>
        <v>0.4050000000000003</v>
      </c>
      <c r="L10" s="27">
        <f>IF(Table136[[#This Row],[Inclusion Flag]]="Y",Table136[[#This Row],[Pair_Variance V is sq(Diff)/2]]/(Table136[[#This Row],[Average_Volume]]^2),"")</f>
        <v>9.8078447065100618E-3</v>
      </c>
      <c r="N10" s="27"/>
      <c r="O10" s="27"/>
      <c r="P10" s="15"/>
      <c r="Q10" s="27"/>
      <c r="R10" s="27"/>
      <c r="S10" s="27"/>
      <c r="T10" s="27"/>
      <c r="V10" s="27"/>
      <c r="W10" s="27"/>
      <c r="X10" s="15"/>
      <c r="Y10" s="27"/>
      <c r="Z10" s="27"/>
      <c r="AA10" s="27"/>
      <c r="AB10" s="27"/>
    </row>
    <row r="11" spans="5:29" ht="19.5" customHeight="1" x14ac:dyDescent="0.4">
      <c r="E11" s="13" t="s">
        <v>63</v>
      </c>
      <c r="F11" s="45">
        <v>8.1509999999999998</v>
      </c>
      <c r="G11" s="45">
        <v>8.0299999999999994</v>
      </c>
      <c r="H11" s="15" t="s">
        <v>1</v>
      </c>
      <c r="I11" s="27">
        <f>IF(Table136[[#This Row],[Inclusion Flag]]="Y",(Table136[[#This Row],[Test_Volume]]+Table136[[#This Row],[ReTest_Volume]])/2,"")</f>
        <v>8.0904999999999987</v>
      </c>
      <c r="J11" s="27">
        <f>IF(Table136[[#This Row],[Inclusion Flag]]="Y",(Table136[[#This Row],[ReTest_Volume]]-Table136[[#This Row],[Test_Volume]]),"")</f>
        <v>-0.12100000000000044</v>
      </c>
      <c r="K11" s="27">
        <f>IF(Table136[[#This Row],[Inclusion Flag]]="Y",(Table136[[#This Row],[Difference_Volume]]^2)/2,"")</f>
        <v>7.3205000000000535E-3</v>
      </c>
      <c r="L11" s="27">
        <f>IF(Table136[[#This Row],[Inclusion Flag]]="Y",Table136[[#This Row],[Pair_Variance V is sq(Diff)/2]]/(Table136[[#This Row],[Average_Volume]]^2),"")</f>
        <v>1.1183816186124666E-4</v>
      </c>
      <c r="N11" s="27"/>
      <c r="O11" s="27"/>
      <c r="P11" s="15"/>
      <c r="Q11" s="27"/>
      <c r="R11" s="27"/>
      <c r="S11" s="27"/>
      <c r="T11" s="27"/>
      <c r="V11" s="27"/>
      <c r="W11" s="27"/>
      <c r="X11" s="15"/>
      <c r="Y11" s="27"/>
      <c r="Z11" s="27"/>
      <c r="AA11" s="27"/>
      <c r="AB11" s="27"/>
    </row>
    <row r="12" spans="5:29" ht="17.25" customHeight="1" x14ac:dyDescent="0.4">
      <c r="E12" s="13" t="s">
        <v>64</v>
      </c>
      <c r="F12" s="45">
        <v>6.4089999999999998</v>
      </c>
      <c r="G12" s="45">
        <v>6.1479999999999997</v>
      </c>
      <c r="H12" s="15" t="s">
        <v>1</v>
      </c>
      <c r="I12" s="27">
        <f>IF(Table136[[#This Row],[Inclusion Flag]]="Y",(Table136[[#This Row],[Test_Volume]]+Table136[[#This Row],[ReTest_Volume]])/2,"")</f>
        <v>6.2784999999999993</v>
      </c>
      <c r="J12" s="27">
        <f>IF(Table136[[#This Row],[Inclusion Flag]]="Y",(Table136[[#This Row],[ReTest_Volume]]-Table136[[#This Row],[Test_Volume]]),"")</f>
        <v>-0.26100000000000012</v>
      </c>
      <c r="K12" s="27">
        <f>IF(Table136[[#This Row],[Inclusion Flag]]="Y",(Table136[[#This Row],[Difference_Volume]]^2)/2,"")</f>
        <v>3.4060500000000028E-2</v>
      </c>
      <c r="L12" s="27">
        <f>IF(Table136[[#This Row],[Inclusion Flag]]="Y",Table136[[#This Row],[Pair_Variance V is sq(Diff)/2]]/(Table136[[#This Row],[Average_Volume]]^2),"")</f>
        <v>8.6405069097387132E-4</v>
      </c>
      <c r="N12" s="27"/>
      <c r="O12" s="27"/>
      <c r="P12" s="15"/>
      <c r="Q12" s="27"/>
      <c r="R12" s="27"/>
      <c r="S12" s="27"/>
      <c r="T12" s="27"/>
      <c r="V12" s="27"/>
      <c r="W12" s="27"/>
      <c r="X12" s="15"/>
      <c r="Y12" s="27"/>
      <c r="Z12" s="27"/>
      <c r="AA12" s="27"/>
      <c r="AB12" s="27"/>
    </row>
    <row r="13" spans="5:29" ht="18" customHeight="1" x14ac:dyDescent="0.4">
      <c r="E13" s="13" t="s">
        <v>64</v>
      </c>
      <c r="F13" s="45">
        <v>7.5389999999999997</v>
      </c>
      <c r="G13" s="45">
        <v>7.7439999999999998</v>
      </c>
      <c r="H13" s="15" t="s">
        <v>1</v>
      </c>
      <c r="I13" s="27">
        <f>IF(Table136[[#This Row],[Inclusion Flag]]="Y",(Table136[[#This Row],[Test_Volume]]+Table136[[#This Row],[ReTest_Volume]])/2,"")</f>
        <v>7.6414999999999997</v>
      </c>
      <c r="J13" s="27">
        <f>IF(Table136[[#This Row],[Inclusion Flag]]="Y",(Table136[[#This Row],[ReTest_Volume]]-Table136[[#This Row],[Test_Volume]]),"")</f>
        <v>0.20500000000000007</v>
      </c>
      <c r="K13" s="27">
        <f>IF(Table136[[#This Row],[Inclusion Flag]]="Y",(Table136[[#This Row],[Difference_Volume]]^2)/2,"")</f>
        <v>2.1012500000000014E-2</v>
      </c>
      <c r="L13" s="27">
        <f>IF(Table136[[#This Row],[Inclusion Flag]]="Y",Table136[[#This Row],[Pair_Variance V is sq(Diff)/2]]/(Table136[[#This Row],[Average_Volume]]^2),"")</f>
        <v>3.5984915859667315E-4</v>
      </c>
      <c r="N13" s="27"/>
      <c r="O13" s="27"/>
      <c r="P13" s="15"/>
      <c r="Q13" s="27"/>
      <c r="R13" s="27"/>
      <c r="S13" s="27"/>
      <c r="T13" s="27"/>
      <c r="V13" s="27"/>
      <c r="W13" s="27"/>
      <c r="X13" s="15"/>
      <c r="Y13" s="27"/>
      <c r="Z13" s="27"/>
      <c r="AA13" s="27"/>
      <c r="AB13" s="27"/>
    </row>
    <row r="15" spans="5:29" ht="15" thickBot="1" x14ac:dyDescent="0.45"/>
    <row r="16" spans="5:29" x14ac:dyDescent="0.4">
      <c r="F16" s="19" t="s">
        <v>7</v>
      </c>
      <c r="G16" s="20"/>
      <c r="H16" s="21"/>
      <c r="I16" s="21" t="s">
        <v>18</v>
      </c>
      <c r="J16" s="20" t="s">
        <v>19</v>
      </c>
      <c r="K16" s="20"/>
      <c r="L16" s="22"/>
      <c r="P16" s="15"/>
      <c r="Q16" s="15"/>
      <c r="X16" s="15"/>
      <c r="Y16" s="15"/>
    </row>
    <row r="17" spans="6:26" x14ac:dyDescent="0.4">
      <c r="F17" s="23" t="s">
        <v>8</v>
      </c>
      <c r="G17" s="13">
        <f>COUNT(I10:I13)</f>
        <v>4</v>
      </c>
      <c r="H17" s="24"/>
      <c r="I17" s="15" t="s">
        <v>20</v>
      </c>
      <c r="J17" s="15" t="s">
        <v>21</v>
      </c>
      <c r="L17" s="25"/>
      <c r="N17" s="26"/>
      <c r="P17" s="24"/>
      <c r="Q17" s="15"/>
      <c r="R17" s="15"/>
      <c r="V17" s="26"/>
      <c r="X17" s="24"/>
      <c r="Y17" s="15"/>
      <c r="Z17" s="15"/>
    </row>
    <row r="18" spans="6:26" x14ac:dyDescent="0.4">
      <c r="F18" s="23" t="s">
        <v>9</v>
      </c>
      <c r="G18" s="27">
        <f>AVERAGE(L10:L13)</f>
        <v>2.7858956794854632E-3</v>
      </c>
      <c r="H18" s="24" t="s">
        <v>15</v>
      </c>
      <c r="I18" s="27">
        <f>(G17-1)/_xlfn.CHISQ.INV(0.975,G17-1)</f>
        <v>0.32091040640961821</v>
      </c>
      <c r="J18" s="27">
        <f>(G17-1)/_xlfn.CHISQ.INV(0.025,G17-1)</f>
        <v>13.902064788082491</v>
      </c>
      <c r="L18" s="25"/>
      <c r="N18" s="26"/>
      <c r="O18" s="27"/>
      <c r="P18" s="24"/>
      <c r="Q18" s="27"/>
      <c r="R18" s="27"/>
      <c r="V18" s="26"/>
      <c r="X18" s="24"/>
      <c r="Y18" s="27"/>
      <c r="Z18" s="27"/>
    </row>
    <row r="19" spans="6:26" x14ac:dyDescent="0.4">
      <c r="F19" s="23" t="s">
        <v>10</v>
      </c>
      <c r="G19" s="27">
        <f>100*SQRT(G18)</f>
        <v>5.2781584662507655</v>
      </c>
      <c r="H19" s="24" t="s">
        <v>16</v>
      </c>
      <c r="I19" s="27">
        <f>G19*SQRT(I$18)</f>
        <v>2.9900215964412018</v>
      </c>
      <c r="J19" s="27">
        <f>G19*SQRT(J$18)</f>
        <v>19.679863370726434</v>
      </c>
      <c r="K19" s="13" t="s">
        <v>22</v>
      </c>
      <c r="L19" s="25"/>
      <c r="N19" s="26"/>
      <c r="O19" s="27"/>
      <c r="P19" s="24"/>
      <c r="Q19" s="27"/>
      <c r="R19" s="27"/>
      <c r="V19" s="26"/>
      <c r="X19" s="24"/>
      <c r="Y19" s="27"/>
      <c r="Z19" s="27"/>
    </row>
    <row r="20" spans="6:26" x14ac:dyDescent="0.4">
      <c r="F20" s="23" t="s">
        <v>11</v>
      </c>
      <c r="G20" s="27">
        <f>AVERAGE(K10:K13)</f>
        <v>0.1168483750000001</v>
      </c>
      <c r="H20" s="24" t="s">
        <v>44</v>
      </c>
      <c r="I20" s="27"/>
      <c r="J20" s="27"/>
      <c r="L20" s="25"/>
      <c r="N20" s="26"/>
      <c r="O20" s="27"/>
      <c r="P20" s="24"/>
      <c r="Q20" s="27"/>
      <c r="R20" s="27"/>
      <c r="V20" s="26"/>
      <c r="X20" s="24"/>
      <c r="Y20" s="27"/>
      <c r="Z20" s="27"/>
    </row>
    <row r="21" spans="6:26" x14ac:dyDescent="0.4">
      <c r="F21" s="23" t="s">
        <v>17</v>
      </c>
      <c r="G21" s="27">
        <f>SQRT(G20)</f>
        <v>0.34183091580487585</v>
      </c>
      <c r="H21" s="24" t="s">
        <v>44</v>
      </c>
      <c r="I21" s="27">
        <f>G21*SQRT(I$18)</f>
        <v>0.19364364050893462</v>
      </c>
      <c r="J21" s="27">
        <f>G21*SQRT(J$18)</f>
        <v>1.2745327299179727</v>
      </c>
      <c r="K21" s="13" t="s">
        <v>45</v>
      </c>
      <c r="L21" s="25"/>
      <c r="N21" s="26"/>
      <c r="O21" s="27"/>
      <c r="P21" s="24"/>
      <c r="Q21" s="27"/>
      <c r="R21" s="27"/>
      <c r="V21" s="26"/>
      <c r="X21" s="24"/>
      <c r="Y21" s="27"/>
      <c r="Z21" s="27"/>
    </row>
    <row r="22" spans="6:26" x14ac:dyDescent="0.4">
      <c r="F22" s="23" t="s">
        <v>12</v>
      </c>
      <c r="G22" s="27">
        <f>1.96 * SQRT(2*G20)</f>
        <v>0.9475069576525551</v>
      </c>
      <c r="H22" s="24" t="s">
        <v>44</v>
      </c>
      <c r="I22" s="27">
        <f>G22*SQRT(I$18)</f>
        <v>0.53675278684306937</v>
      </c>
      <c r="J22" s="27">
        <f>G22*SQRT(J$18)</f>
        <v>3.532824485783268</v>
      </c>
      <c r="K22" s="13" t="s">
        <v>46</v>
      </c>
      <c r="L22" s="25"/>
      <c r="N22" s="26"/>
      <c r="O22" s="27"/>
      <c r="P22" s="24"/>
      <c r="Q22" s="27"/>
      <c r="R22" s="27"/>
      <c r="V22" s="26"/>
      <c r="X22" s="24"/>
      <c r="Y22" s="27"/>
      <c r="Z22" s="27"/>
    </row>
    <row r="23" spans="6:26" x14ac:dyDescent="0.4">
      <c r="F23" s="23" t="s">
        <v>13</v>
      </c>
      <c r="G23" s="27">
        <f>AVERAGE(I10:I13)</f>
        <v>7.1091249999999997</v>
      </c>
      <c r="H23" s="24" t="s">
        <v>44</v>
      </c>
      <c r="L23" s="25"/>
      <c r="N23" s="26"/>
      <c r="O23" s="27"/>
      <c r="P23" s="24"/>
      <c r="V23" s="26"/>
      <c r="X23" s="24"/>
    </row>
    <row r="24" spans="6:26" x14ac:dyDescent="0.4">
      <c r="F24" s="23" t="s">
        <v>14</v>
      </c>
      <c r="G24" s="27">
        <f>AVERAGE(J10:J13)</f>
        <v>-0.26925000000000021</v>
      </c>
      <c r="H24" s="24" t="s">
        <v>44</v>
      </c>
      <c r="L24" s="25"/>
      <c r="N24" s="26"/>
      <c r="O24" s="27"/>
      <c r="P24" s="24"/>
      <c r="V24" s="26"/>
      <c r="W24" s="27"/>
      <c r="X24" s="24"/>
    </row>
    <row r="25" spans="6:26" ht="15" thickBot="1" x14ac:dyDescent="0.45">
      <c r="F25" s="28" t="s">
        <v>23</v>
      </c>
      <c r="G25" s="29" t="s">
        <v>23</v>
      </c>
      <c r="H25" s="30"/>
      <c r="I25" s="31"/>
      <c r="J25" s="31"/>
      <c r="K25" s="31"/>
      <c r="L25" s="32"/>
      <c r="N25" s="26"/>
      <c r="O25" s="26"/>
      <c r="P25" s="15"/>
      <c r="V25" s="26"/>
      <c r="W25" s="26"/>
      <c r="X25" s="15"/>
    </row>
    <row r="26" spans="6:26" x14ac:dyDescent="0.4">
      <c r="H26" s="15"/>
      <c r="P26" s="15"/>
      <c r="X26" s="15"/>
    </row>
    <row r="27" spans="6:26" x14ac:dyDescent="0.4">
      <c r="H27" s="15"/>
      <c r="P27" s="15"/>
      <c r="X27" s="1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020B4-6256-4AA2-B194-18F8225D9135}">
  <dimension ref="E2:AC34"/>
  <sheetViews>
    <sheetView topLeftCell="D2" zoomScale="124" zoomScaleNormal="124" workbookViewId="0">
      <pane xSplit="2" ySplit="6" topLeftCell="K13" activePane="bottomRight" state="frozen"/>
      <selection activeCell="D2" sqref="D2"/>
      <selection pane="topRight" activeCell="G2" sqref="G2"/>
      <selection pane="bottomLeft" activeCell="D5" sqref="D5"/>
      <selection pane="bottomRight" activeCell="D3" sqref="A1:XFD1048576"/>
    </sheetView>
  </sheetViews>
  <sheetFormatPr defaultRowHeight="14.6" x14ac:dyDescent="0.4"/>
  <cols>
    <col min="1" max="4" width="9.23046875" style="13"/>
    <col min="5" max="5" width="15.69140625" style="13" customWidth="1"/>
    <col min="6" max="6" width="16.53515625" style="13" customWidth="1"/>
    <col min="7" max="7" width="15.53515625" style="13" customWidth="1"/>
    <col min="8" max="8" width="17.15234375" style="13" customWidth="1"/>
    <col min="9" max="9" width="15.84375" style="13" customWidth="1"/>
    <col min="10" max="29" width="12.69140625" style="13" customWidth="1"/>
    <col min="30" max="16384" width="9.23046875" style="13"/>
  </cols>
  <sheetData>
    <row r="2" spans="5:29" ht="23.25" customHeight="1" x14ac:dyDescent="0.4">
      <c r="N2" s="2"/>
      <c r="O2" s="2"/>
      <c r="P2" s="2"/>
      <c r="Q2" s="2"/>
      <c r="R2" s="2"/>
      <c r="S2" s="2"/>
    </row>
    <row r="3" spans="5:29" ht="23.25" customHeight="1" x14ac:dyDescent="0.5">
      <c r="F3" s="9"/>
      <c r="G3" s="11"/>
      <c r="H3" s="11"/>
      <c r="I3" s="11"/>
      <c r="J3" s="11"/>
      <c r="K3" s="11"/>
      <c r="L3" s="11"/>
      <c r="M3" s="11"/>
      <c r="N3" s="1"/>
      <c r="O3" s="1"/>
    </row>
    <row r="4" spans="5:29" ht="23.25" customHeight="1" x14ac:dyDescent="0.5">
      <c r="F4" s="9"/>
      <c r="G4" s="11"/>
      <c r="H4" s="11"/>
      <c r="I4" s="11"/>
      <c r="J4" s="11"/>
      <c r="K4" s="11"/>
      <c r="L4" s="11"/>
      <c r="M4" s="11"/>
      <c r="N4" s="1"/>
      <c r="O4" s="1"/>
    </row>
    <row r="5" spans="5:29" ht="23.25" customHeight="1" x14ac:dyDescent="0.5">
      <c r="F5" s="9"/>
      <c r="G5" s="11"/>
      <c r="H5" s="11"/>
      <c r="I5" s="11"/>
      <c r="J5" s="11"/>
      <c r="K5" s="11"/>
      <c r="L5" s="11"/>
      <c r="M5" s="11"/>
      <c r="N5" s="1"/>
      <c r="O5" s="1"/>
    </row>
    <row r="6" spans="5:29" ht="14.25" customHeight="1" x14ac:dyDescent="0.4">
      <c r="F6" s="13" t="s">
        <v>34</v>
      </c>
    </row>
    <row r="7" spans="5:29" x14ac:dyDescent="0.4">
      <c r="E7" s="13" t="s">
        <v>60</v>
      </c>
      <c r="F7" s="13" t="s">
        <v>48</v>
      </c>
      <c r="G7" s="13" t="s">
        <v>47</v>
      </c>
      <c r="H7" s="13" t="s">
        <v>2</v>
      </c>
      <c r="I7" s="13" t="s">
        <v>3</v>
      </c>
      <c r="J7" s="13" t="s">
        <v>4</v>
      </c>
      <c r="K7" s="13" t="s">
        <v>5</v>
      </c>
      <c r="L7" s="13" t="s">
        <v>6</v>
      </c>
      <c r="M7" s="13" t="s">
        <v>41</v>
      </c>
      <c r="N7" s="13" t="s">
        <v>0</v>
      </c>
      <c r="O7" s="13" t="s">
        <v>75</v>
      </c>
      <c r="P7" s="13" t="s">
        <v>76</v>
      </c>
      <c r="Q7" s="13" t="s">
        <v>77</v>
      </c>
      <c r="R7" s="13" t="s">
        <v>78</v>
      </c>
      <c r="S7" s="13" t="s">
        <v>79</v>
      </c>
      <c r="T7" s="13" t="s">
        <v>80</v>
      </c>
      <c r="U7" s="13" t="s">
        <v>93</v>
      </c>
      <c r="V7" s="13" t="s">
        <v>107</v>
      </c>
      <c r="W7" s="13" t="s">
        <v>108</v>
      </c>
      <c r="X7" s="13" t="s">
        <v>109</v>
      </c>
      <c r="Y7" s="13" t="s">
        <v>110</v>
      </c>
      <c r="Z7" s="13" t="s">
        <v>111</v>
      </c>
      <c r="AA7" s="13" t="s">
        <v>112</v>
      </c>
      <c r="AB7" s="13" t="s">
        <v>113</v>
      </c>
      <c r="AC7" s="13" t="s">
        <v>42</v>
      </c>
    </row>
    <row r="8" spans="5:29" x14ac:dyDescent="0.4">
      <c r="E8" s="13" t="s">
        <v>29</v>
      </c>
      <c r="F8" s="27">
        <v>7.65673446</v>
      </c>
      <c r="G8" s="27">
        <v>7.7508640288999997</v>
      </c>
      <c r="H8" s="15" t="s">
        <v>1</v>
      </c>
      <c r="I8" s="13">
        <f>IF(Table13[[#This Row],[Incl T2 TvsRT]]="Y",(Table13[[#This Row],[T1 Test]]+Table13[[#This Row],[T1 ReTest]])/2,"")</f>
        <v>7.7037992444499999</v>
      </c>
      <c r="J8" s="13">
        <f>IF(Table13[[#This Row],[Incl T2 TvsRT]]="Y",(Table13[[#This Row],[T1 ReTest]]-Table13[[#This Row],[T1 Test]]),"")</f>
        <v>9.4129568899999683E-2</v>
      </c>
      <c r="K8" s="13">
        <f>IF(Table13[[#This Row],[Incl T2 TvsRT]]="Y",(Table13[[#This Row],[Diff T2 TvsRT]]^2)/2,"")</f>
        <v>4.4301878706498937E-3</v>
      </c>
      <c r="L8" s="13">
        <f>IF(Table13[[#This Row],[Incl T2 TvsRT]]="Y",Table13[[#This Row],[V T2 TvsRT]]/(Table13[[#This Row],[Ave T2 TvsRT]]^2),"")</f>
        <v>7.464697791501454E-5</v>
      </c>
      <c r="N8" s="27"/>
      <c r="O8" s="27"/>
      <c r="P8" s="15"/>
      <c r="V8" s="27"/>
      <c r="W8" s="27"/>
      <c r="X8" s="15"/>
      <c r="Y8" s="27"/>
      <c r="Z8" s="27"/>
      <c r="AA8" s="27"/>
      <c r="AB8" s="27"/>
    </row>
    <row r="9" spans="5:29" ht="19.5" customHeight="1" x14ac:dyDescent="0.4">
      <c r="E9" s="13" t="s">
        <v>29</v>
      </c>
      <c r="F9" s="27">
        <v>7.4507861137000004</v>
      </c>
      <c r="G9" s="27">
        <v>7.3054847709999997</v>
      </c>
      <c r="H9" s="15" t="s">
        <v>1</v>
      </c>
      <c r="I9" s="13">
        <f>IF(Table13[[#This Row],[Incl T2 TvsRT]]="Y",(Table13[[#This Row],[T1 Test]]+Table13[[#This Row],[T1 ReTest]])/2,"")</f>
        <v>7.3781354423500005</v>
      </c>
      <c r="J9" s="13">
        <f>IF(Table13[[#This Row],[Incl T2 TvsRT]]="Y",(Table13[[#This Row],[T1 ReTest]]-Table13[[#This Row],[T1 Test]]),"")</f>
        <v>-0.14530134270000072</v>
      </c>
      <c r="K9" s="13">
        <f>IF(Table13[[#This Row],[Incl T2 TvsRT]]="Y",(Table13[[#This Row],[Diff T2 TvsRT]]^2)/2,"")</f>
        <v>1.0556240095211528E-2</v>
      </c>
      <c r="L9" s="13">
        <f>IF(Table13[[#This Row],[Incl T2 TvsRT]]="Y",Table13[[#This Row],[V T2 TvsRT]]/(Table13[[#This Row],[Ave T2 TvsRT]]^2),"")</f>
        <v>1.9391705751559176E-4</v>
      </c>
      <c r="N9" s="27"/>
      <c r="O9" s="27"/>
      <c r="P9" s="15"/>
      <c r="V9" s="27"/>
      <c r="W9" s="27"/>
      <c r="X9" s="15"/>
      <c r="Y9" s="27"/>
      <c r="Z9" s="27"/>
      <c r="AA9" s="27"/>
      <c r="AB9" s="27"/>
    </row>
    <row r="10" spans="5:29" ht="17.25" customHeight="1" x14ac:dyDescent="0.4">
      <c r="E10" s="13" t="s">
        <v>29</v>
      </c>
      <c r="F10" s="27">
        <v>7.446363925</v>
      </c>
      <c r="G10" s="27">
        <v>7.7129597663</v>
      </c>
      <c r="H10" s="15" t="s">
        <v>1</v>
      </c>
      <c r="I10" s="13">
        <f>IF(Table13[[#This Row],[Incl T2 TvsRT]]="Y",(Table13[[#This Row],[T1 Test]]+Table13[[#This Row],[T1 ReTest]])/2,"")</f>
        <v>7.5796618456499996</v>
      </c>
      <c r="J10" s="13">
        <f>IF(Table13[[#This Row],[Incl T2 TvsRT]]="Y",(Table13[[#This Row],[T1 ReTest]]-Table13[[#This Row],[T1 Test]]),"")</f>
        <v>0.26659584130000002</v>
      </c>
      <c r="K10" s="13">
        <f>IF(Table13[[#This Row],[Incl T2 TvsRT]]="Y",(Table13[[#This Row],[Diff T2 TvsRT]]^2)/2,"")</f>
        <v>3.5536671299227399E-2</v>
      </c>
      <c r="L10" s="13">
        <f>IF(Table13[[#This Row],[Incl T2 TvsRT]]="Y",Table13[[#This Row],[V T2 TvsRT]]/(Table13[[#This Row],[Ave T2 TvsRT]]^2),"")</f>
        <v>6.1855323675251851E-4</v>
      </c>
      <c r="N10" s="27"/>
      <c r="O10" s="27"/>
      <c r="P10" s="15"/>
      <c r="V10" s="27"/>
      <c r="W10" s="27"/>
      <c r="X10" s="15"/>
      <c r="Y10" s="27"/>
      <c r="Z10" s="27"/>
      <c r="AA10" s="27"/>
      <c r="AB10" s="27"/>
    </row>
    <row r="11" spans="5:29" ht="18" customHeight="1" x14ac:dyDescent="0.4">
      <c r="E11" s="13" t="s">
        <v>29</v>
      </c>
      <c r="F11" s="27">
        <v>7.6276741027000003</v>
      </c>
      <c r="G11" s="27">
        <v>7.8089842699999998</v>
      </c>
      <c r="H11" s="15" t="s">
        <v>1</v>
      </c>
      <c r="I11" s="13">
        <f>IF(Table13[[#This Row],[Incl T2 TvsRT]]="Y",(Table13[[#This Row],[T1 Test]]+Table13[[#This Row],[T1 ReTest]])/2,"")</f>
        <v>7.7183291863500001</v>
      </c>
      <c r="J11" s="13">
        <f>IF(Table13[[#This Row],[Incl T2 TvsRT]]="Y",(Table13[[#This Row],[T1 ReTest]]-Table13[[#This Row],[T1 Test]]),"")</f>
        <v>0.18131016729999949</v>
      </c>
      <c r="K11" s="13">
        <f>IF(Table13[[#This Row],[Incl T2 TvsRT]]="Y",(Table13[[#This Row],[Diff T2 TvsRT]]^2)/2,"")</f>
        <v>1.6436688383176901E-2</v>
      </c>
      <c r="L11" s="13">
        <f>IF(Table13[[#This Row],[Incl T2 TvsRT]]="Y",Table13[[#This Row],[V T2 TvsRT]]/(Table13[[#This Row],[Ave T2 TvsRT]]^2),"")</f>
        <v>2.7591018161534888E-4</v>
      </c>
      <c r="N11" s="27"/>
      <c r="O11" s="27"/>
      <c r="P11" s="15"/>
      <c r="V11" s="27"/>
      <c r="W11" s="27"/>
      <c r="X11" s="15"/>
      <c r="Y11" s="27"/>
      <c r="Z11" s="27"/>
      <c r="AA11" s="27"/>
      <c r="AB11" s="27"/>
    </row>
    <row r="12" spans="5:29" ht="15" customHeight="1" x14ac:dyDescent="0.45">
      <c r="E12" s="13" t="s">
        <v>28</v>
      </c>
      <c r="F12" s="43">
        <v>6.8499974999999997</v>
      </c>
      <c r="G12" s="43">
        <v>7.2713708869999998</v>
      </c>
      <c r="H12" s="15" t="s">
        <v>1</v>
      </c>
      <c r="I12" s="13">
        <f>IF(Table13[[#This Row],[Incl T2 TvsRT]]="Y",(Table13[[#This Row],[T1 Test]]+Table13[[#This Row],[T1 ReTest]])/2,"")</f>
        <v>7.0606841935000002</v>
      </c>
      <c r="J12" s="13">
        <f>IF(Table13[[#This Row],[Incl T2 TvsRT]]="Y",(Table13[[#This Row],[T1 ReTest]]-Table13[[#This Row],[T1 Test]]),"")</f>
        <v>0.42137338700000004</v>
      </c>
      <c r="K12" s="13">
        <f>IF(Table13[[#This Row],[Incl T2 TvsRT]]="Y",(Table13[[#This Row],[Diff T2 TvsRT]]^2)/2,"")</f>
        <v>8.8777765635925904E-2</v>
      </c>
      <c r="L12" s="13">
        <f>IF(Table13[[#This Row],[Incl T2 TvsRT]]="Y",Table13[[#This Row],[V T2 TvsRT]]/(Table13[[#This Row],[Ave T2 TvsRT]]^2),"")</f>
        <v>1.7807815046783056E-3</v>
      </c>
      <c r="N12" s="27"/>
      <c r="O12" s="27"/>
      <c r="P12" s="15"/>
      <c r="V12" s="27"/>
      <c r="W12" s="27"/>
      <c r="X12" s="15"/>
      <c r="Y12" s="27"/>
      <c r="Z12" s="27"/>
      <c r="AA12" s="27"/>
      <c r="AB12" s="27"/>
    </row>
    <row r="13" spans="5:29" ht="17.25" customHeight="1" x14ac:dyDescent="0.4">
      <c r="E13" s="13" t="s">
        <v>28</v>
      </c>
      <c r="F13" s="27">
        <v>8.1962432859999996</v>
      </c>
      <c r="G13" s="27">
        <v>8.2815284699999996</v>
      </c>
      <c r="H13" s="15" t="s">
        <v>1</v>
      </c>
      <c r="I13" s="13">
        <f>IF(Table13[[#This Row],[Incl T2 TvsRT]]="Y",(Table13[[#This Row],[T1 Test]]+Table13[[#This Row],[T1 ReTest]])/2,"")</f>
        <v>8.2388858779999996</v>
      </c>
      <c r="J13" s="13">
        <f>IF(Table13[[#This Row],[Incl T2 TvsRT]]="Y",(Table13[[#This Row],[T1 ReTest]]-Table13[[#This Row],[T1 Test]]),"")</f>
        <v>8.5285183999999958E-2</v>
      </c>
      <c r="K13" s="13">
        <f>IF(Table13[[#This Row],[Incl T2 TvsRT]]="Y",(Table13[[#This Row],[Diff T2 TvsRT]]^2)/2,"")</f>
        <v>3.6367813049569243E-3</v>
      </c>
      <c r="L13" s="13">
        <f>IF(Table13[[#This Row],[Incl T2 TvsRT]]="Y",Table13[[#This Row],[V T2 TvsRT]]/(Table13[[#This Row],[Ave T2 TvsRT]]^2),"")</f>
        <v>5.3577224459122057E-5</v>
      </c>
      <c r="N13" s="27"/>
      <c r="O13" s="27"/>
      <c r="P13" s="15"/>
      <c r="V13" s="27"/>
      <c r="W13" s="27"/>
      <c r="X13" s="15"/>
      <c r="Y13" s="27"/>
      <c r="Z13" s="27"/>
      <c r="AA13" s="27"/>
      <c r="AB13" s="27"/>
    </row>
    <row r="14" spans="5:29" ht="18" customHeight="1" x14ac:dyDescent="0.4">
      <c r="E14" s="13" t="s">
        <v>28</v>
      </c>
      <c r="F14" s="27">
        <v>9.1476488109999998</v>
      </c>
      <c r="G14" s="27">
        <v>9.4742612838000007</v>
      </c>
      <c r="H14" s="15" t="s">
        <v>1</v>
      </c>
      <c r="I14" s="13">
        <f>IF(Table13[[#This Row],[Incl T2 TvsRT]]="Y",(Table13[[#This Row],[T1 Test]]+Table13[[#This Row],[T1 ReTest]])/2,"")</f>
        <v>9.3109550474000002</v>
      </c>
      <c r="J14" s="13">
        <f>IF(Table13[[#This Row],[Incl T2 TvsRT]]="Y",(Table13[[#This Row],[T1 ReTest]]-Table13[[#This Row],[T1 Test]]),"")</f>
        <v>0.32661247280000083</v>
      </c>
      <c r="K14" s="13">
        <f>IF(Table13[[#This Row],[Incl T2 TvsRT]]="Y",(Table13[[#This Row],[Diff T2 TvsRT]]^2)/2,"")</f>
        <v>5.3337853694265643E-2</v>
      </c>
      <c r="L14" s="13">
        <f>IF(Table13[[#This Row],[Incl T2 TvsRT]]="Y",Table13[[#This Row],[V T2 TvsRT]]/(Table13[[#This Row],[Ave T2 TvsRT]]^2),"")</f>
        <v>6.1524355926940142E-4</v>
      </c>
      <c r="N14" s="27"/>
      <c r="O14" s="27"/>
      <c r="P14" s="15"/>
      <c r="V14" s="27"/>
      <c r="W14" s="27"/>
      <c r="X14" s="15"/>
      <c r="Y14" s="27"/>
      <c r="Z14" s="27"/>
      <c r="AA14" s="27"/>
      <c r="AB14" s="27"/>
    </row>
    <row r="15" spans="5:29" ht="16.5" customHeight="1" x14ac:dyDescent="0.4">
      <c r="E15" s="13" t="s">
        <v>28</v>
      </c>
      <c r="F15" s="27">
        <v>9.64799118</v>
      </c>
      <c r="G15" s="27">
        <v>9.4572038650000003</v>
      </c>
      <c r="H15" s="15" t="s">
        <v>1</v>
      </c>
      <c r="I15" s="13">
        <f>IF(Table13[[#This Row],[Incl T2 TvsRT]]="Y",(Table13[[#This Row],[T1 Test]]+Table13[[#This Row],[T1 ReTest]])/2,"")</f>
        <v>9.552597522500001</v>
      </c>
      <c r="J15" s="13">
        <f>IF(Table13[[#This Row],[Incl T2 TvsRT]]="Y",(Table13[[#This Row],[T1 ReTest]]-Table13[[#This Row],[T1 Test]]),"")</f>
        <v>-0.19078731499999968</v>
      </c>
      <c r="K15" s="13">
        <f>IF(Table13[[#This Row],[Incl T2 TvsRT]]="Y",(Table13[[#This Row],[Diff T2 TvsRT]]^2)/2,"")</f>
        <v>1.8199899782454551E-2</v>
      </c>
      <c r="L15" s="13">
        <f>IF(Table13[[#This Row],[Incl T2 TvsRT]]="Y",Table13[[#This Row],[V T2 TvsRT]]/(Table13[[#This Row],[Ave T2 TvsRT]]^2),"")</f>
        <v>1.994463240608831E-4</v>
      </c>
      <c r="N15" s="27"/>
      <c r="O15" s="27"/>
      <c r="P15" s="15"/>
      <c r="V15" s="27"/>
      <c r="W15" s="27"/>
      <c r="X15" s="15"/>
      <c r="Y15" s="27"/>
      <c r="Z15" s="27"/>
      <c r="AA15" s="27"/>
      <c r="AB15" s="27"/>
    </row>
    <row r="16" spans="5:29" ht="17.25" customHeight="1" x14ac:dyDescent="0.4">
      <c r="E16" s="13" t="s">
        <v>28</v>
      </c>
      <c r="F16" s="27">
        <v>9.8482532501000009</v>
      </c>
      <c r="G16" s="27">
        <v>9.9379606246000005</v>
      </c>
      <c r="H16" s="15" t="s">
        <v>1</v>
      </c>
      <c r="I16" s="13">
        <f>IF(Table13[[#This Row],[Incl T2 TvsRT]]="Y",(Table13[[#This Row],[T1 Test]]+Table13[[#This Row],[T1 ReTest]])/2,"")</f>
        <v>9.8931069373500016</v>
      </c>
      <c r="J16" s="13">
        <f>IF(Table13[[#This Row],[Incl T2 TvsRT]]="Y",(Table13[[#This Row],[T1 ReTest]]-Table13[[#This Row],[T1 Test]]),"")</f>
        <v>8.9707374499999659E-2</v>
      </c>
      <c r="K16" s="13">
        <f>IF(Table13[[#This Row],[Incl T2 TvsRT]]="Y",(Table13[[#This Row],[Diff T2 TvsRT]]^2)/2,"")</f>
        <v>4.0237065198415944E-3</v>
      </c>
      <c r="L16" s="13">
        <f>IF(Table13[[#This Row],[Incl T2 TvsRT]]="Y",Table13[[#This Row],[V T2 TvsRT]]/(Table13[[#This Row],[Ave T2 TvsRT]]^2),"")</f>
        <v>4.1111269677650755E-5</v>
      </c>
      <c r="N16" s="27"/>
      <c r="O16" s="27"/>
      <c r="P16" s="15"/>
      <c r="V16" s="27"/>
      <c r="W16" s="27"/>
      <c r="X16" s="15"/>
      <c r="Y16" s="27"/>
      <c r="Z16" s="27"/>
      <c r="AA16" s="27"/>
      <c r="AB16" s="27"/>
    </row>
    <row r="17" spans="5:28" x14ac:dyDescent="0.4">
      <c r="E17" s="13" t="s">
        <v>30</v>
      </c>
      <c r="F17" s="27">
        <v>8.1937170028680004</v>
      </c>
      <c r="G17" s="27">
        <v>8.0976915358999992</v>
      </c>
      <c r="H17" s="15" t="s">
        <v>1</v>
      </c>
      <c r="I17" s="13">
        <f>IF(Table13[[#This Row],[Incl T2 TvsRT]]="Y",(Table13[[#This Row],[T1 Test]]+Table13[[#This Row],[T1 ReTest]])/2,"")</f>
        <v>8.1457042693839998</v>
      </c>
      <c r="J17" s="13">
        <f>IF(Table13[[#This Row],[Incl T2 TvsRT]]="Y",(Table13[[#This Row],[T1 ReTest]]-Table13[[#This Row],[T1 Test]]),"")</f>
        <v>-9.6025466968001183E-2</v>
      </c>
      <c r="K17" s="13">
        <f>IF(Table13[[#This Row],[Incl T2 TvsRT]]="Y",(Table13[[#This Row],[Diff T2 TvsRT]]^2)/2,"")</f>
        <v>4.6104451532113433E-3</v>
      </c>
      <c r="L17" s="13">
        <f>IF(Table13[[#This Row],[Incl T2 TvsRT]]="Y",Table13[[#This Row],[V T2 TvsRT]]/(Table13[[#This Row],[Ave T2 TvsRT]]^2),"")</f>
        <v>6.9484123267460489E-5</v>
      </c>
      <c r="N17" s="27"/>
      <c r="O17" s="27"/>
      <c r="P17" s="15"/>
      <c r="V17" s="27"/>
      <c r="W17" s="27"/>
      <c r="X17" s="15"/>
      <c r="Y17" s="27"/>
      <c r="Z17" s="27"/>
      <c r="AA17" s="27"/>
      <c r="AB17" s="27"/>
    </row>
    <row r="18" spans="5:28" ht="15.9" x14ac:dyDescent="0.45">
      <c r="E18" s="13" t="s">
        <v>31</v>
      </c>
      <c r="F18" s="27">
        <v>6.89737796</v>
      </c>
      <c r="G18" s="43">
        <v>6.7539724999999997</v>
      </c>
      <c r="H18" s="15" t="s">
        <v>1</v>
      </c>
      <c r="I18" s="13">
        <f>IF(Table13[[#This Row],[Incl T2 TvsRT]]="Y",(Table13[[#This Row],[T1 Test]]+Table13[[#This Row],[T1 ReTest]])/2,"")</f>
        <v>6.8256752299999999</v>
      </c>
      <c r="J18" s="13">
        <f>IF(Table13[[#This Row],[Incl T2 TvsRT]]="Y",(Table13[[#This Row],[T1 ReTest]]-Table13[[#This Row],[T1 Test]]),"")</f>
        <v>-0.14340546000000032</v>
      </c>
      <c r="K18" s="13">
        <f>IF(Table13[[#This Row],[Incl T2 TvsRT]]="Y",(Table13[[#This Row],[Diff T2 TvsRT]]^2)/2,"")</f>
        <v>1.0282562978905846E-2</v>
      </c>
      <c r="L18" s="13">
        <f>IF(Table13[[#This Row],[Incl T2 TvsRT]]="Y",Table13[[#This Row],[V T2 TvsRT]]/(Table13[[#This Row],[Ave T2 TvsRT]]^2),"")</f>
        <v>2.2070396595607364E-4</v>
      </c>
      <c r="N18" s="27"/>
      <c r="O18" s="27"/>
      <c r="P18" s="15"/>
      <c r="V18" s="27"/>
      <c r="W18" s="27"/>
      <c r="X18" s="15"/>
      <c r="Y18" s="27"/>
      <c r="Z18" s="27"/>
      <c r="AA18" s="27"/>
      <c r="AB18" s="27"/>
    </row>
    <row r="19" spans="5:28" x14ac:dyDescent="0.4">
      <c r="E19" s="13" t="s">
        <v>32</v>
      </c>
      <c r="F19" s="27">
        <v>4.9402360916000001</v>
      </c>
      <c r="G19" s="27">
        <v>5.5454463900000004</v>
      </c>
      <c r="H19" s="15" t="s">
        <v>1</v>
      </c>
      <c r="I19" s="13">
        <f>IF(Table13[[#This Row],[Incl T2 TvsRT]]="Y",(Table13[[#This Row],[T1 Test]]+Table13[[#This Row],[T1 ReTest]])/2,"")</f>
        <v>5.2428412408000007</v>
      </c>
      <c r="J19" s="13">
        <f>IF(Table13[[#This Row],[Incl T2 TvsRT]]="Y",(Table13[[#This Row],[T1 ReTest]]-Table13[[#This Row],[T1 Test]]),"")</f>
        <v>0.60521029840000029</v>
      </c>
      <c r="K19" s="13">
        <f>IF(Table13[[#This Row],[Incl T2 TvsRT]]="Y",(Table13[[#This Row],[Diff T2 TvsRT]]^2)/2,"")</f>
        <v>0.18313975264470869</v>
      </c>
      <c r="L19" s="13">
        <f>IF(Table13[[#This Row],[Incl T2 TvsRT]]="Y",Table13[[#This Row],[V T2 TvsRT]]/(Table13[[#This Row],[Ave T2 TvsRT]]^2),"")</f>
        <v>6.6626838990663352E-3</v>
      </c>
      <c r="N19" s="27"/>
      <c r="O19" s="27"/>
      <c r="P19" s="15"/>
      <c r="V19" s="27"/>
      <c r="W19" s="27"/>
      <c r="X19" s="15"/>
      <c r="Y19" s="27"/>
      <c r="Z19" s="27"/>
      <c r="AA19" s="27"/>
      <c r="AB19" s="27"/>
    </row>
    <row r="20" spans="5:28" x14ac:dyDescent="0.4">
      <c r="E20" s="13" t="s">
        <v>33</v>
      </c>
      <c r="F20" s="27">
        <v>5.0684800140000004</v>
      </c>
      <c r="G20" s="27">
        <v>5.3805613509999999</v>
      </c>
      <c r="H20" s="15" t="s">
        <v>1</v>
      </c>
      <c r="I20" s="13">
        <f>IF(Table13[[#This Row],[Incl T2 TvsRT]]="Y",(Table13[[#This Row],[T1 Test]]+Table13[[#This Row],[T1 ReTest]])/2,"")</f>
        <v>5.2245206824999997</v>
      </c>
      <c r="J20" s="13">
        <f>IF(Table13[[#This Row],[Incl T2 TvsRT]]="Y",(Table13[[#This Row],[T1 ReTest]]-Table13[[#This Row],[T1 Test]]),"")</f>
        <v>0.31208133699999951</v>
      </c>
      <c r="K20" s="13">
        <f>IF(Table13[[#This Row],[Incl T2 TvsRT]]="Y",(Table13[[#This Row],[Diff T2 TvsRT]]^2)/2,"")</f>
        <v>4.8697380451853636E-2</v>
      </c>
      <c r="L20" s="13">
        <f>IF(Table13[[#This Row],[Incl T2 TvsRT]]="Y",Table13[[#This Row],[V T2 TvsRT]]/(Table13[[#This Row],[Ave T2 TvsRT]]^2),"")</f>
        <v>1.7840733034290401E-3</v>
      </c>
      <c r="N20" s="27"/>
      <c r="O20" s="27"/>
      <c r="P20" s="15"/>
      <c r="V20" s="27"/>
      <c r="W20" s="27"/>
      <c r="X20" s="15"/>
      <c r="Y20" s="27"/>
      <c r="Z20" s="27"/>
      <c r="AA20" s="27"/>
      <c r="AB20" s="27"/>
    </row>
    <row r="22" spans="5:28" ht="15" thickBot="1" x14ac:dyDescent="0.45"/>
    <row r="23" spans="5:28" x14ac:dyDescent="0.4">
      <c r="F23" s="19" t="s">
        <v>7</v>
      </c>
      <c r="G23" s="20"/>
      <c r="H23" s="21"/>
      <c r="I23" s="21" t="s">
        <v>18</v>
      </c>
      <c r="J23" s="20" t="s">
        <v>19</v>
      </c>
      <c r="K23" s="20"/>
      <c r="L23" s="22"/>
      <c r="P23" s="15"/>
      <c r="Q23" s="15"/>
      <c r="X23" s="15"/>
      <c r="Y23" s="15"/>
    </row>
    <row r="24" spans="5:28" x14ac:dyDescent="0.4">
      <c r="F24" s="23" t="s">
        <v>8</v>
      </c>
      <c r="G24" s="13">
        <f>COUNT(I8:I20)</f>
        <v>13</v>
      </c>
      <c r="H24" s="24"/>
      <c r="I24" s="15" t="s">
        <v>20</v>
      </c>
      <c r="J24" s="15" t="s">
        <v>21</v>
      </c>
      <c r="L24" s="25"/>
      <c r="N24" s="26"/>
      <c r="P24" s="24"/>
      <c r="Q24" s="15"/>
      <c r="R24" s="15"/>
      <c r="V24" s="26"/>
      <c r="X24" s="24"/>
      <c r="Y24" s="15"/>
      <c r="Z24" s="15"/>
    </row>
    <row r="25" spans="5:28" x14ac:dyDescent="0.4">
      <c r="F25" s="23" t="s">
        <v>9</v>
      </c>
      <c r="G25" s="27">
        <f>AVERAGE(L8:L20)</f>
        <v>9.6847174058944192E-4</v>
      </c>
      <c r="H25" s="24" t="s">
        <v>15</v>
      </c>
      <c r="I25" s="27">
        <f>(G24-1)/_xlfn.CHISQ.INV(0.975,G24-1)</f>
        <v>0.51421231065513962</v>
      </c>
      <c r="J25" s="27">
        <f>(G24-1)/_xlfn.CHISQ.INV(0.025,G24-1)</f>
        <v>2.7249264993029021</v>
      </c>
      <c r="L25" s="25"/>
      <c r="N25" s="26"/>
      <c r="O25" s="27"/>
      <c r="P25" s="24"/>
      <c r="Q25" s="27"/>
      <c r="R25" s="27"/>
      <c r="V25" s="26"/>
      <c r="W25" s="27"/>
      <c r="X25" s="24"/>
      <c r="Y25" s="27"/>
      <c r="Z25" s="27"/>
    </row>
    <row r="26" spans="5:28" x14ac:dyDescent="0.4">
      <c r="F26" s="23" t="s">
        <v>10</v>
      </c>
      <c r="G26" s="27">
        <f>100*SQRT(G25)</f>
        <v>3.1120278607195053</v>
      </c>
      <c r="H26" s="24" t="s">
        <v>16</v>
      </c>
      <c r="I26" s="27">
        <f>G26*SQRT(I$25)</f>
        <v>2.231591565526053</v>
      </c>
      <c r="J26" s="27">
        <f>G26*SQRT(J$25)</f>
        <v>5.1371337434002795</v>
      </c>
      <c r="K26" s="13" t="s">
        <v>22</v>
      </c>
      <c r="L26" s="25"/>
      <c r="N26" s="26"/>
      <c r="O26" s="27"/>
      <c r="P26" s="24"/>
      <c r="Q26" s="27"/>
      <c r="R26" s="27"/>
      <c r="V26" s="26"/>
      <c r="W26" s="27"/>
      <c r="X26" s="24"/>
      <c r="Y26" s="27"/>
      <c r="Z26" s="27"/>
    </row>
    <row r="27" spans="5:28" x14ac:dyDescent="0.4">
      <c r="F27" s="23" t="s">
        <v>11</v>
      </c>
      <c r="G27" s="27">
        <f>AVERAGE(K8:K20)</f>
        <v>3.7051225831876144E-2</v>
      </c>
      <c r="H27" s="24" t="s">
        <v>44</v>
      </c>
      <c r="L27" s="25"/>
      <c r="N27" s="26"/>
      <c r="O27" s="27"/>
      <c r="P27" s="24"/>
      <c r="V27" s="26"/>
      <c r="W27" s="27"/>
      <c r="X27" s="24"/>
    </row>
    <row r="28" spans="5:28" x14ac:dyDescent="0.4">
      <c r="F28" s="23" t="s">
        <v>17</v>
      </c>
      <c r="G28" s="27">
        <f>SQRT(G27)</f>
        <v>0.19248694977030559</v>
      </c>
      <c r="H28" s="24" t="s">
        <v>44</v>
      </c>
      <c r="I28" s="27">
        <f>G28*SQRT(I$25)</f>
        <v>0.13802969407926119</v>
      </c>
      <c r="J28" s="27">
        <f>G28*SQRT(J$25)</f>
        <v>0.31774497179489014</v>
      </c>
      <c r="K28" s="13" t="s">
        <v>45</v>
      </c>
      <c r="L28" s="25"/>
      <c r="N28" s="26"/>
      <c r="O28" s="27"/>
      <c r="P28" s="24"/>
      <c r="Q28" s="27"/>
      <c r="R28" s="27"/>
      <c r="V28" s="26"/>
      <c r="W28" s="27"/>
      <c r="X28" s="24"/>
      <c r="Y28" s="27"/>
      <c r="Z28" s="27"/>
    </row>
    <row r="29" spans="5:28" x14ac:dyDescent="0.4">
      <c r="F29" s="23" t="s">
        <v>12</v>
      </c>
      <c r="G29" s="27">
        <f>1.96 * SQRT(2*G27)</f>
        <v>0.53354660369218998</v>
      </c>
      <c r="H29" s="24" t="s">
        <v>44</v>
      </c>
      <c r="I29" s="27">
        <f>G29*SQRT(I$25)</f>
        <v>0.38259879213911691</v>
      </c>
      <c r="J29" s="27">
        <f>G29*SQRT(J$25)</f>
        <v>0.88074412703685279</v>
      </c>
      <c r="K29" s="13" t="s">
        <v>46</v>
      </c>
      <c r="L29" s="25"/>
      <c r="N29" s="26"/>
      <c r="O29" s="27"/>
      <c r="P29" s="24"/>
      <c r="Q29" s="27"/>
      <c r="R29" s="27"/>
      <c r="V29" s="26"/>
      <c r="W29" s="27"/>
      <c r="X29" s="24"/>
      <c r="Y29" s="27"/>
      <c r="Z29" s="27"/>
    </row>
    <row r="30" spans="5:28" x14ac:dyDescent="0.4">
      <c r="F30" s="23" t="s">
        <v>13</v>
      </c>
      <c r="G30" s="27">
        <f>AVERAGE(I8:I20)</f>
        <v>7.6826843630949231</v>
      </c>
      <c r="H30" s="24" t="s">
        <v>44</v>
      </c>
      <c r="L30" s="25"/>
      <c r="N30" s="26"/>
      <c r="O30" s="27"/>
      <c r="P30" s="24"/>
      <c r="V30" s="26"/>
      <c r="W30" s="27"/>
      <c r="X30" s="24"/>
    </row>
    <row r="31" spans="5:28" x14ac:dyDescent="0.4">
      <c r="F31" s="23" t="s">
        <v>14</v>
      </c>
      <c r="G31" s="27">
        <f>AVERAGE(J8:J20)</f>
        <v>0.13898354204092289</v>
      </c>
      <c r="H31" s="24" t="s">
        <v>44</v>
      </c>
      <c r="L31" s="25"/>
      <c r="N31" s="26"/>
      <c r="O31" s="27"/>
      <c r="P31" s="24"/>
      <c r="V31" s="26"/>
      <c r="W31" s="27"/>
      <c r="X31" s="24"/>
    </row>
    <row r="32" spans="5:28" ht="15" thickBot="1" x14ac:dyDescent="0.45">
      <c r="F32" s="28" t="s">
        <v>23</v>
      </c>
      <c r="G32" s="29" t="s">
        <v>23</v>
      </c>
      <c r="H32" s="30"/>
      <c r="I32" s="31"/>
      <c r="J32" s="31"/>
      <c r="K32" s="31"/>
      <c r="L32" s="32"/>
      <c r="N32" s="26"/>
      <c r="O32" s="26"/>
      <c r="P32" s="15"/>
      <c r="V32" s="26"/>
      <c r="W32" s="26"/>
      <c r="X32" s="15"/>
    </row>
    <row r="33" spans="8:24" x14ac:dyDescent="0.4">
      <c r="H33" s="15"/>
      <c r="P33" s="15"/>
      <c r="X33" s="15"/>
    </row>
    <row r="34" spans="8:24" x14ac:dyDescent="0.4">
      <c r="H34" s="15"/>
      <c r="P34" s="15"/>
      <c r="X34" s="1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666C0-E665-4D06-A71A-2ECB5376CA0E}">
  <dimension ref="E2:X41"/>
  <sheetViews>
    <sheetView topLeftCell="D2" zoomScale="112" zoomScaleNormal="112" workbookViewId="0">
      <pane xSplit="1" ySplit="3" topLeftCell="L5" activePane="bottomRight" state="frozen"/>
      <selection activeCell="D2" sqref="D2"/>
      <selection pane="topRight" activeCell="G2" sqref="G2"/>
      <selection pane="bottomLeft" activeCell="D5" sqref="D5"/>
      <selection pane="bottomRight" activeCell="D2" sqref="A1:XFD1048576"/>
    </sheetView>
  </sheetViews>
  <sheetFormatPr defaultRowHeight="14.6" x14ac:dyDescent="0.4"/>
  <cols>
    <col min="1" max="3" width="9.23046875" style="13"/>
    <col min="4" max="4" width="5.3046875" style="13" customWidth="1"/>
    <col min="5" max="5" width="6.3828125" style="13" customWidth="1"/>
    <col min="6" max="6" width="11.84375" style="13" customWidth="1"/>
    <col min="7" max="7" width="12.84375" style="13" customWidth="1"/>
    <col min="8" max="8" width="14.69140625" style="13" customWidth="1"/>
    <col min="9" max="9" width="10.53515625" style="13" customWidth="1"/>
    <col min="10" max="10" width="10.84375" style="13" customWidth="1"/>
    <col min="11" max="11" width="13" style="13" customWidth="1"/>
    <col min="12" max="13" width="12.69140625" style="13" customWidth="1"/>
    <col min="14" max="15" width="7.3828125" style="13" customWidth="1"/>
    <col min="16" max="16" width="12.69140625" style="13" customWidth="1"/>
    <col min="17" max="17" width="13.3828125" style="13" customWidth="1"/>
    <col min="18" max="18" width="16" style="13" customWidth="1"/>
    <col min="19" max="19" width="12.69140625" style="13" customWidth="1"/>
    <col min="20" max="20" width="12.84375" style="13" customWidth="1"/>
    <col min="21" max="22" width="12.69140625" style="13" customWidth="1"/>
    <col min="23" max="23" width="14.3828125" style="13" customWidth="1"/>
    <col min="24" max="16384" width="9.23046875" style="13"/>
  </cols>
  <sheetData>
    <row r="2" spans="5:24" ht="23.25" customHeight="1" x14ac:dyDescent="0.4">
      <c r="G2" s="3"/>
      <c r="H2" s="3"/>
      <c r="I2" s="3"/>
      <c r="J2" s="3"/>
      <c r="K2" s="3"/>
      <c r="L2" s="3"/>
      <c r="M2" s="3"/>
      <c r="R2" s="8"/>
      <c r="S2" s="8"/>
      <c r="T2" s="3"/>
      <c r="U2" s="3"/>
      <c r="V2" s="3"/>
      <c r="W2" s="3"/>
      <c r="X2" s="3"/>
    </row>
    <row r="3" spans="5:24" ht="14.25" customHeight="1" x14ac:dyDescent="0.4">
      <c r="P3" s="46"/>
      <c r="Q3" s="46"/>
      <c r="R3" s="46"/>
    </row>
    <row r="4" spans="5:24" ht="43.75" x14ac:dyDescent="0.4">
      <c r="E4" s="13" t="s">
        <v>41</v>
      </c>
      <c r="F4" s="14" t="s">
        <v>68</v>
      </c>
      <c r="G4" s="14" t="s">
        <v>83</v>
      </c>
      <c r="H4" s="14" t="s">
        <v>84</v>
      </c>
      <c r="I4" s="14" t="s">
        <v>90</v>
      </c>
      <c r="J4" s="14" t="s">
        <v>85</v>
      </c>
      <c r="K4" s="14" t="s">
        <v>86</v>
      </c>
      <c r="L4" s="14" t="s">
        <v>92</v>
      </c>
      <c r="M4" s="14" t="s">
        <v>99</v>
      </c>
      <c r="N4" s="13" t="s">
        <v>42</v>
      </c>
      <c r="O4" s="13" t="s">
        <v>114</v>
      </c>
      <c r="P4" s="13" t="s">
        <v>70</v>
      </c>
      <c r="Q4" s="14" t="s">
        <v>87</v>
      </c>
      <c r="R4" s="14" t="s">
        <v>96</v>
      </c>
      <c r="S4" s="14" t="s">
        <v>97</v>
      </c>
      <c r="T4" s="14" t="s">
        <v>88</v>
      </c>
      <c r="U4" s="14" t="s">
        <v>89</v>
      </c>
      <c r="V4" s="14" t="s">
        <v>120</v>
      </c>
      <c r="W4" s="14" t="s">
        <v>98</v>
      </c>
    </row>
    <row r="5" spans="5:24" x14ac:dyDescent="0.4">
      <c r="F5" s="13" t="s">
        <v>49</v>
      </c>
      <c r="G5" s="27">
        <v>6.9826629999999996</v>
      </c>
      <c r="H5" s="27">
        <v>4.5864589999999996</v>
      </c>
      <c r="I5" s="15" t="s">
        <v>1</v>
      </c>
      <c r="J5" s="27">
        <f>IF(Table111[[#This Row],[Inclusion Flag]]="Y",(Table111[[#This Row],[Test_Volume]]+Table111[[#This Row],[ReTest_Volume]])/2,"")</f>
        <v>5.7845610000000001</v>
      </c>
      <c r="K5" s="27">
        <f>IF(Table111[[#This Row],[Inclusion Flag]]="Y",Table111[[#This Row],[ReTest_Volume]]-Table111[[#This Row],[Test_Volume]],"")</f>
        <v>-2.396204</v>
      </c>
      <c r="L5" s="27">
        <f>IF(Table111[[#This Row],[Inclusion Flag]]="Y",(Table111[[#This Row],[Difference_Volume]]^2)/2,"")</f>
        <v>2.8708968048079999</v>
      </c>
      <c r="M5" s="27">
        <f>IF(Table111[[#This Row],[Inclusion Flag]]="Y",Table111[[#This Row],[Pair_Variance V is sq(Diff)/2]]/(Table111[[#This Row],[Average_Volume]]^2),"")</f>
        <v>8.5797922402492163E-2</v>
      </c>
      <c r="P5" s="13" t="s">
        <v>49</v>
      </c>
      <c r="Q5" s="27">
        <v>6.6630016545000004</v>
      </c>
      <c r="R5" s="27">
        <v>4.7924083455000002</v>
      </c>
      <c r="S5" s="15" t="s">
        <v>1</v>
      </c>
      <c r="T5" s="27">
        <f>IF(Table111[[#This Row],[Inclusion Flag2]]="Y",(Table111[[#This Row],[Test_Volume2]]+Table111[[#This Row],[ReTest_Volume2]])/2,"")</f>
        <v>5.7277050000000003</v>
      </c>
      <c r="U5" s="27">
        <f>IF(Table111[[#This Row],[Inclusion Flag2]]="Y",Table111[[#This Row],[Test_Volume2]]-Table111[[#This Row],[ReTest_Volume2]],"")</f>
        <v>1.8705933090000002</v>
      </c>
      <c r="V5" s="27">
        <f>IF(Table111[[#This Row],[Inclusion Flag2]]="Y",(Table111[[#This Row],[Difference_Volume2]]^2)/2,"")</f>
        <v>1.7495596638377851</v>
      </c>
      <c r="W5" s="27">
        <f>IF(Table111[[#This Row],[Inclusion Flag2]]="Y",Table111[[#This Row],[Pair_Variance V2 is sq(Diff)/2]]/(Table111[[#This Row],[Average_Volume2]]^2),"")</f>
        <v>5.3329495293040013E-2</v>
      </c>
    </row>
    <row r="6" spans="5:24" ht="17.25" customHeight="1" x14ac:dyDescent="0.4">
      <c r="F6" s="13" t="s">
        <v>51</v>
      </c>
      <c r="G6" s="27">
        <v>7.597982</v>
      </c>
      <c r="H6" s="27">
        <v>7.6036669999999997</v>
      </c>
      <c r="I6" s="15" t="s">
        <v>1</v>
      </c>
      <c r="J6" s="27">
        <f>IF(Table111[[#This Row],[Inclusion Flag]]="Y",(Table111[[#This Row],[Test_Volume]]+Table111[[#This Row],[ReTest_Volume]])/2,"")</f>
        <v>7.6008244999999999</v>
      </c>
      <c r="K6" s="27">
        <f>IF(Table111[[#This Row],[Inclusion Flag]]="Y",Table111[[#This Row],[ReTest_Volume]]-Table111[[#This Row],[Test_Volume]],"")</f>
        <v>5.6849999999997181E-3</v>
      </c>
      <c r="L6" s="27">
        <f>IF(Table111[[#This Row],[Inclusion Flag]]="Y",(Table111[[#This Row],[Difference_Volume]]^2)/2,"")</f>
        <v>1.6159612499998399E-5</v>
      </c>
      <c r="M6" s="27">
        <f>IF(Table111[[#This Row],[Inclusion Flag]]="Y",Table111[[#This Row],[Pair_Variance V is sq(Diff)/2]]/(Table111[[#This Row],[Average_Volume]]^2),"")</f>
        <v>2.7971099134042456E-7</v>
      </c>
      <c r="P6" s="13" t="s">
        <v>51</v>
      </c>
      <c r="Q6" s="27">
        <v>7.7211723660000002</v>
      </c>
      <c r="R6" s="27">
        <v>7.4779510159999996</v>
      </c>
      <c r="S6" s="15" t="s">
        <v>1</v>
      </c>
      <c r="T6" s="27">
        <f>IF(Table111[[#This Row],[Inclusion Flag2]]="Y",(Table111[[#This Row],[Test_Volume2]]+Table111[[#This Row],[ReTest_Volume2]])/2,"")</f>
        <v>7.5995616909999999</v>
      </c>
      <c r="U6" s="27">
        <f>IF(Table111[[#This Row],[Inclusion Flag2]]="Y",Table111[[#This Row],[Test_Volume2]]-Table111[[#This Row],[ReTest_Volume2]],"")</f>
        <v>0.24322135000000067</v>
      </c>
      <c r="V6" s="27">
        <f>IF(Table111[[#This Row],[Inclusion Flag2]]="Y",(Table111[[#This Row],[Difference_Volume2]]^2)/2,"")</f>
        <v>2.9578312547911413E-2</v>
      </c>
      <c r="W6" s="27">
        <f>IF(Table111[[#This Row],[Inclusion Flag2]]="Y",Table111[[#This Row],[Pair_Variance V2 is sq(Diff)/2]]/(Table111[[#This Row],[Average_Volume2]]^2),"")</f>
        <v>5.1214897053267888E-4</v>
      </c>
    </row>
    <row r="7" spans="5:24" ht="18" customHeight="1" x14ac:dyDescent="0.4">
      <c r="F7" s="13" t="s">
        <v>51</v>
      </c>
      <c r="G7" s="27">
        <v>9.5734449999999995</v>
      </c>
      <c r="H7" s="27">
        <v>8.4224081000000002</v>
      </c>
      <c r="I7" s="15" t="s">
        <v>1</v>
      </c>
      <c r="J7" s="27">
        <f>IF(Table111[[#This Row],[Inclusion Flag]]="Y",(Table111[[#This Row],[Test_Volume]]+Table111[[#This Row],[ReTest_Volume]])/2,"")</f>
        <v>8.997926549999999</v>
      </c>
      <c r="K7" s="27">
        <f>IF(Table111[[#This Row],[Inclusion Flag]]="Y",Table111[[#This Row],[ReTest_Volume]]-Table111[[#This Row],[Test_Volume]],"")</f>
        <v>-1.1510368999999994</v>
      </c>
      <c r="L7" s="27">
        <f>IF(Table111[[#This Row],[Inclusion Flag]]="Y",(Table111[[#This Row],[Difference_Volume]]^2)/2,"")</f>
        <v>0.66244297258080431</v>
      </c>
      <c r="M7" s="27">
        <f>IF(Table111[[#This Row],[Inclusion Flag]]="Y",Table111[[#This Row],[Pair_Variance V is sq(Diff)/2]]/(Table111[[#This Row],[Average_Volume]]^2),"")</f>
        <v>8.1820778979502708E-3</v>
      </c>
      <c r="P7" s="13" t="s">
        <v>51</v>
      </c>
      <c r="Q7" s="27">
        <v>8.9991896049999998</v>
      </c>
      <c r="R7" s="27">
        <v>7.9176442549999999</v>
      </c>
      <c r="S7" s="15" t="s">
        <v>1</v>
      </c>
      <c r="T7" s="27">
        <f>IF(Table111[[#This Row],[Inclusion Flag2]]="Y",(Table111[[#This Row],[Test_Volume2]]+Table111[[#This Row],[ReTest_Volume2]])/2,"")</f>
        <v>8.4584169300000003</v>
      </c>
      <c r="U7" s="27">
        <f>IF(Table111[[#This Row],[Inclusion Flag2]]="Y",Table111[[#This Row],[Test_Volume2]]-Table111[[#This Row],[ReTest_Volume2]],"")</f>
        <v>1.0815453499999998</v>
      </c>
      <c r="V7" s="27">
        <f>IF(Table111[[#This Row],[Inclusion Flag2]]="Y",(Table111[[#This Row],[Difference_Volume2]]^2)/2,"")</f>
        <v>0.58487017205331104</v>
      </c>
      <c r="W7" s="27">
        <f>IF(Table111[[#This Row],[Inclusion Flag2]]="Y",Table111[[#This Row],[Pair_Variance V2 is sq(Diff)/2]]/(Table111[[#This Row],[Average_Volume2]]^2),"")</f>
        <v>8.1748783055287152E-3</v>
      </c>
    </row>
    <row r="8" spans="5:24" ht="15" customHeight="1" x14ac:dyDescent="0.4">
      <c r="F8" s="13" t="s">
        <v>52</v>
      </c>
      <c r="G8" s="27">
        <v>7.0704700000000003</v>
      </c>
      <c r="H8" s="27">
        <v>6.6547879999999999</v>
      </c>
      <c r="I8" s="15" t="s">
        <v>1</v>
      </c>
      <c r="J8" s="27">
        <f>IF(Table111[[#This Row],[Inclusion Flag]]="Y",(Table111[[#This Row],[Test_Volume]]+Table111[[#This Row],[ReTest_Volume]])/2,"")</f>
        <v>6.8626290000000001</v>
      </c>
      <c r="K8" s="27">
        <f>IF(Table111[[#This Row],[Inclusion Flag]]="Y",Table111[[#This Row],[ReTest_Volume]]-Table111[[#This Row],[Test_Volume]],"")</f>
        <v>-0.41568200000000033</v>
      </c>
      <c r="L8" s="27">
        <f>IF(Table111[[#This Row],[Inclusion Flag]]="Y",(Table111[[#This Row],[Difference_Volume]]^2)/2,"")</f>
        <v>8.6395762562000142E-2</v>
      </c>
      <c r="M8" s="27">
        <f>IF(Table111[[#This Row],[Inclusion Flag]]="Y",Table111[[#This Row],[Pair_Variance V is sq(Diff)/2]]/(Table111[[#This Row],[Average_Volume]]^2),"")</f>
        <v>1.8344733200083133E-3</v>
      </c>
      <c r="P8" s="13" t="s">
        <v>52</v>
      </c>
      <c r="Q8" s="27">
        <v>7.2486283774500002</v>
      </c>
      <c r="R8" s="27">
        <v>6.4570534225500005</v>
      </c>
      <c r="S8" s="15" t="s">
        <v>1</v>
      </c>
      <c r="T8" s="27">
        <f>IF(Table111[[#This Row],[Inclusion Flag2]]="Y",(Table111[[#This Row],[Test_Volume2]]+Table111[[#This Row],[ReTest_Volume2]])/2,"")</f>
        <v>6.8528409000000003</v>
      </c>
      <c r="U8" s="27">
        <f>IF(Table111[[#This Row],[Inclusion Flag2]]="Y",Table111[[#This Row],[Test_Volume2]]-Table111[[#This Row],[ReTest_Volume2]],"")</f>
        <v>0.79157495489999974</v>
      </c>
      <c r="V8" s="27">
        <f>IF(Table111[[#This Row],[Inclusion Flag2]]="Y",(Table111[[#This Row],[Difference_Volume2]]^2)/2,"")</f>
        <v>0.31329545461246833</v>
      </c>
      <c r="W8" s="27">
        <f>IF(Table111[[#This Row],[Inclusion Flag2]]="Y",Table111[[#This Row],[Pair_Variance V2 is sq(Diff)/2]]/(Table111[[#This Row],[Average_Volume2]]^2),"")</f>
        <v>6.6713357170309776E-3</v>
      </c>
    </row>
    <row r="9" spans="5:24" ht="18" customHeight="1" x14ac:dyDescent="0.4">
      <c r="F9" s="13" t="s">
        <v>52</v>
      </c>
      <c r="G9" s="27">
        <v>6.5916142000000004</v>
      </c>
      <c r="H9" s="27">
        <v>6.5783469999999999</v>
      </c>
      <c r="I9" s="15" t="s">
        <v>1</v>
      </c>
      <c r="J9" s="27">
        <f>IF(Table111[[#This Row],[Inclusion Flag]]="Y",(Table111[[#This Row],[Test_Volume]]+Table111[[#This Row],[ReTest_Volume]])/2,"")</f>
        <v>6.5849805999999997</v>
      </c>
      <c r="K9" s="27">
        <f>IF(Table111[[#This Row],[Inclusion Flag]]="Y",Table111[[#This Row],[ReTest_Volume]]-Table111[[#This Row],[Test_Volume]],"")</f>
        <v>-1.3267200000000479E-2</v>
      </c>
      <c r="L9" s="27">
        <f>IF(Table111[[#This Row],[Inclusion Flag]]="Y",(Table111[[#This Row],[Difference_Volume]]^2)/2,"")</f>
        <v>8.800929792000635E-5</v>
      </c>
      <c r="M9" s="27">
        <f>IF(Table111[[#This Row],[Inclusion Flag]]="Y",Table111[[#This Row],[Pair_Variance V is sq(Diff)/2]]/(Table111[[#This Row],[Average_Volume]]^2),"")</f>
        <v>2.0296425399954033E-6</v>
      </c>
      <c r="P9" s="13" t="s">
        <v>52</v>
      </c>
      <c r="Q9" s="27">
        <v>6.9213845419999993</v>
      </c>
      <c r="R9" s="44">
        <v>6.5619223419999999</v>
      </c>
      <c r="S9" s="15" t="s">
        <v>1</v>
      </c>
      <c r="T9" s="27">
        <f>IF(Table111[[#This Row],[Inclusion Flag2]]="Y",(Table111[[#This Row],[Test_Volume2]]+Table111[[#This Row],[ReTest_Volume2]])/2,"")</f>
        <v>6.7416534419999996</v>
      </c>
      <c r="U9" s="27">
        <f>IF(Table111[[#This Row],[Inclusion Flag2]]="Y",Table111[[#This Row],[Test_Volume2]]-Table111[[#This Row],[ReTest_Volume2]],"")</f>
        <v>0.3594621999999994</v>
      </c>
      <c r="V9" s="27">
        <f>IF(Table111[[#This Row],[Inclusion Flag2]]="Y",(Table111[[#This Row],[Difference_Volume2]]^2)/2,"")</f>
        <v>6.4606536614419785E-2</v>
      </c>
      <c r="W9" s="27">
        <f>IF(Table111[[#This Row],[Inclusion Flag2]]="Y",Table111[[#This Row],[Pair_Variance V2 is sq(Diff)/2]]/(Table111[[#This Row],[Average_Volume2]]^2),"")</f>
        <v>1.4214893590556667E-3</v>
      </c>
    </row>
    <row r="10" spans="5:24" x14ac:dyDescent="0.4">
      <c r="F10" s="13" t="s">
        <v>52</v>
      </c>
      <c r="G10" s="27">
        <v>6.6712144999999996</v>
      </c>
      <c r="H10" s="27">
        <v>7.0711069999999996</v>
      </c>
      <c r="I10" s="15" t="s">
        <v>1</v>
      </c>
      <c r="J10" s="27">
        <f>IF(Table111[[#This Row],[Inclusion Flag]]="Y",(Table111[[#This Row],[Test_Volume]]+Table111[[#This Row],[ReTest_Volume]])/2,"")</f>
        <v>6.8711607499999996</v>
      </c>
      <c r="K10" s="27">
        <f>IF(Table111[[#This Row],[Inclusion Flag]]="Y",Table111[[#This Row],[ReTest_Volume]]-Table111[[#This Row],[Test_Volume]],"")</f>
        <v>0.39989249999999998</v>
      </c>
      <c r="L10" s="27">
        <f>IF(Table111[[#This Row],[Inclusion Flag]]="Y",(Table111[[#This Row],[Difference_Volume]]^2)/2,"")</f>
        <v>7.9957005778124993E-2</v>
      </c>
      <c r="M10" s="27">
        <f>IF(Table111[[#This Row],[Inclusion Flag]]="Y",Table111[[#This Row],[Pair_Variance V is sq(Diff)/2]]/(Table111[[#This Row],[Average_Volume]]^2),"")</f>
        <v>1.6935432978412443E-3</v>
      </c>
      <c r="P10" s="13" t="s">
        <v>52</v>
      </c>
      <c r="Q10" s="27">
        <v>6.2081463330000002</v>
      </c>
      <c r="R10" s="44">
        <v>7.219568013</v>
      </c>
      <c r="S10" s="15" t="s">
        <v>1</v>
      </c>
      <c r="T10" s="27">
        <f>IF(Table111[[#This Row],[Inclusion Flag2]]="Y",(Table111[[#This Row],[Test_Volume2]]+Table111[[#This Row],[ReTest_Volume2]])/2,"")</f>
        <v>6.7138571730000001</v>
      </c>
      <c r="U10" s="27">
        <f>IF(Table111[[#This Row],[Inclusion Flag2]]="Y",Table111[[#This Row],[Test_Volume2]]-Table111[[#This Row],[ReTest_Volume2]],"")</f>
        <v>-1.0114216799999998</v>
      </c>
      <c r="V10" s="27">
        <f>IF(Table111[[#This Row],[Inclusion Flag2]]="Y",(Table111[[#This Row],[Difference_Volume2]]^2)/2,"")</f>
        <v>0.51148690738701097</v>
      </c>
      <c r="W10" s="27">
        <f>IF(Table111[[#This Row],[Inclusion Flag2]]="Y",Table111[[#This Row],[Pair_Variance V2 is sq(Diff)/2]]/(Table111[[#This Row],[Average_Volume2]]^2),"")</f>
        <v>1.1347242216883966E-2</v>
      </c>
    </row>
    <row r="11" spans="5:24" x14ac:dyDescent="0.4">
      <c r="F11" s="13" t="s">
        <v>52</v>
      </c>
      <c r="G11" s="27">
        <v>7.3269630000000001</v>
      </c>
      <c r="H11" s="27">
        <v>7.2972722000000001</v>
      </c>
      <c r="I11" s="15" t="s">
        <v>1</v>
      </c>
      <c r="J11" s="27">
        <f>IF(Table111[[#This Row],[Inclusion Flag]]="Y",(Table111[[#This Row],[Test_Volume]]+Table111[[#This Row],[ReTest_Volume]])/2,"")</f>
        <v>7.3121176000000006</v>
      </c>
      <c r="K11" s="27">
        <f>IF(Table111[[#This Row],[Inclusion Flag]]="Y",Table111[[#This Row],[ReTest_Volume]]-Table111[[#This Row],[Test_Volume]],"")</f>
        <v>-2.9690800000000017E-2</v>
      </c>
      <c r="L11" s="27">
        <f>IF(Table111[[#This Row],[Inclusion Flag]]="Y",(Table111[[#This Row],[Difference_Volume]]^2)/2,"")</f>
        <v>4.4077180232000049E-4</v>
      </c>
      <c r="M11" s="27">
        <f>IF(Table111[[#This Row],[Inclusion Flag]]="Y",Table111[[#This Row],[Pair_Variance V is sq(Diff)/2]]/(Table111[[#This Row],[Average_Volume]]^2),"")</f>
        <v>8.243800407664832E-6</v>
      </c>
      <c r="P11" s="13" t="s">
        <v>52</v>
      </c>
      <c r="Q11" s="27">
        <v>7.0559464269823993</v>
      </c>
      <c r="R11" s="44">
        <v>7.0850066369824001</v>
      </c>
      <c r="S11" s="15" t="s">
        <v>1</v>
      </c>
      <c r="T11" s="27">
        <f>IF(Table111[[#This Row],[Inclusion Flag2]]="Y",(Table111[[#This Row],[Test_Volume2]]+Table111[[#This Row],[ReTest_Volume2]])/2,"")</f>
        <v>7.0704765319823997</v>
      </c>
      <c r="U11" s="27">
        <f>IF(Table111[[#This Row],[Inclusion Flag2]]="Y",Table111[[#This Row],[Test_Volume2]]-Table111[[#This Row],[ReTest_Volume2]],"")</f>
        <v>-2.9060210000000808E-2</v>
      </c>
      <c r="V11" s="27">
        <f>IF(Table111[[#This Row],[Inclusion Flag2]]="Y",(Table111[[#This Row],[Difference_Volume2]]^2)/2,"")</f>
        <v>4.2224790262207349E-4</v>
      </c>
      <c r="W11" s="27">
        <f>IF(Table111[[#This Row],[Inclusion Flag2]]="Y",Table111[[#This Row],[Pair_Variance V2 is sq(Diff)/2]]/(Table111[[#This Row],[Average_Volume2]]^2),"")</f>
        <v>8.4463705576877551E-6</v>
      </c>
    </row>
    <row r="12" spans="5:24" x14ac:dyDescent="0.4">
      <c r="F12" s="13" t="s">
        <v>56</v>
      </c>
      <c r="G12" s="27">
        <v>7.2517867000000003</v>
      </c>
      <c r="H12" s="27">
        <v>7.5341758700000003</v>
      </c>
      <c r="I12" s="15" t="s">
        <v>1</v>
      </c>
      <c r="J12" s="27">
        <f>IF(Table111[[#This Row],[Inclusion Flag]]="Y",(Table111[[#This Row],[Test_Volume]]+Table111[[#This Row],[ReTest_Volume]])/2,"")</f>
        <v>7.3929812850000003</v>
      </c>
      <c r="K12" s="27">
        <f>IF(Table111[[#This Row],[Inclusion Flag]]="Y",Table111[[#This Row],[ReTest_Volume]]-Table111[[#This Row],[Test_Volume]],"")</f>
        <v>0.28238917000000008</v>
      </c>
      <c r="L12" s="27">
        <f>IF(Table111[[#This Row],[Inclusion Flag]]="Y",(Table111[[#This Row],[Difference_Volume]]^2)/2,"")</f>
        <v>3.9871821666644471E-2</v>
      </c>
      <c r="M12" s="27">
        <f>IF(Table111[[#This Row],[Inclusion Flag]]="Y",Table111[[#This Row],[Pair_Variance V is sq(Diff)/2]]/(Table111[[#This Row],[Average_Volume]]^2),"")</f>
        <v>7.295026344347886E-4</v>
      </c>
      <c r="P12" s="13" t="s">
        <v>56</v>
      </c>
      <c r="Q12" s="27">
        <v>6.9832956500000005</v>
      </c>
      <c r="R12" s="44">
        <v>7.3092754099999997</v>
      </c>
      <c r="S12" s="15" t="s">
        <v>1</v>
      </c>
      <c r="T12" s="27">
        <f>IF(Table111[[#This Row],[Inclusion Flag2]]="Y",(Table111[[#This Row],[Test_Volume2]]+Table111[[#This Row],[ReTest_Volume2]])/2,"")</f>
        <v>7.1462855300000001</v>
      </c>
      <c r="U12" s="27">
        <f>IF(Table111[[#This Row],[Inclusion Flag2]]="Y",Table111[[#This Row],[Test_Volume2]]-Table111[[#This Row],[ReTest_Volume2]],"")</f>
        <v>-0.32597975999999917</v>
      </c>
      <c r="V12" s="27">
        <f>IF(Table111[[#This Row],[Inclusion Flag2]]="Y",(Table111[[#This Row],[Difference_Volume2]]^2)/2,"")</f>
        <v>5.3131401964828531E-2</v>
      </c>
      <c r="W12" s="27">
        <f>IF(Table111[[#This Row],[Inclusion Flag2]]="Y",Table111[[#This Row],[Pair_Variance V2 is sq(Diff)/2]]/(Table111[[#This Row],[Average_Volume2]]^2),"")</f>
        <v>1.0403765310472773E-3</v>
      </c>
    </row>
    <row r="13" spans="5:24" ht="17.25" customHeight="1" x14ac:dyDescent="0.4">
      <c r="F13" s="13" t="s">
        <v>56</v>
      </c>
      <c r="G13" s="27">
        <v>7.8266735000000001</v>
      </c>
      <c r="H13" s="27">
        <v>7.8746859999999996</v>
      </c>
      <c r="I13" s="15" t="s">
        <v>1</v>
      </c>
      <c r="J13" s="27">
        <f>IF(Table111[[#This Row],[Inclusion Flag]]="Y",(Table111[[#This Row],[Test_Volume]]+Table111[[#This Row],[ReTest_Volume]])/2,"")</f>
        <v>7.8506797499999994</v>
      </c>
      <c r="K13" s="27">
        <f>IF(Table111[[#This Row],[Inclusion Flag]]="Y",Table111[[#This Row],[ReTest_Volume]]-Table111[[#This Row],[Test_Volume]],"")</f>
        <v>4.8012499999999569E-2</v>
      </c>
      <c r="L13" s="27">
        <f>IF(Table111[[#This Row],[Inclusion Flag]]="Y",(Table111[[#This Row],[Difference_Volume]]^2)/2,"")</f>
        <v>1.1526000781249793E-3</v>
      </c>
      <c r="M13" s="27">
        <f>IF(Table111[[#This Row],[Inclusion Flag]]="Y",Table111[[#This Row],[Pair_Variance V is sq(Diff)/2]]/(Table111[[#This Row],[Average_Volume]]^2),"")</f>
        <v>1.8700969472761124E-5</v>
      </c>
      <c r="P13" s="13" t="s">
        <v>56</v>
      </c>
      <c r="Q13" s="27">
        <v>7.5379662890918517</v>
      </c>
      <c r="R13" s="44">
        <v>7.5524963955394888</v>
      </c>
      <c r="S13" s="15" t="s">
        <v>1</v>
      </c>
      <c r="T13" s="27">
        <f>IF(Table111[[#This Row],[Inclusion Flag2]]="Y",(Table111[[#This Row],[Test_Volume2]]+Table111[[#This Row],[ReTest_Volume2]])/2,"")</f>
        <v>7.5452313423156703</v>
      </c>
      <c r="U13" s="27">
        <f>IF(Table111[[#This Row],[Inclusion Flag2]]="Y",Table111[[#This Row],[Test_Volume2]]-Table111[[#This Row],[ReTest_Volume2]],"")</f>
        <v>-1.4530106447637081E-2</v>
      </c>
      <c r="V13" s="27">
        <f>IF(Table111[[#This Row],[Inclusion Flag2]]="Y",(Table111[[#This Row],[Difference_Volume2]]^2)/2,"")</f>
        <v>1.0556199668983234E-4</v>
      </c>
      <c r="W13" s="27">
        <f>IF(Table111[[#This Row],[Inclusion Flag2]]="Y",Table111[[#This Row],[Pair_Variance V2 is sq(Diff)/2]]/(Table111[[#This Row],[Average_Volume2]]^2),"")</f>
        <v>1.8542251869459254E-6</v>
      </c>
    </row>
    <row r="14" spans="5:24" x14ac:dyDescent="0.4">
      <c r="F14" s="13" t="s">
        <v>57</v>
      </c>
      <c r="G14" s="27">
        <v>7.6485209999999997</v>
      </c>
      <c r="H14" s="27">
        <v>7.7022190000000004</v>
      </c>
      <c r="I14" s="15" t="s">
        <v>1</v>
      </c>
      <c r="J14" s="27">
        <f>IF(Table111[[#This Row],[Inclusion Flag]]="Y",(Table111[[#This Row],[Test_Volume]]+Table111[[#This Row],[ReTest_Volume]])/2,"")</f>
        <v>7.67537</v>
      </c>
      <c r="K14" s="27">
        <f>IF(Table111[[#This Row],[Inclusion Flag]]="Y",Table111[[#This Row],[ReTest_Volume]]-Table111[[#This Row],[Test_Volume]],"")</f>
        <v>5.369800000000069E-2</v>
      </c>
      <c r="L14" s="27">
        <f>IF(Table111[[#This Row],[Inclusion Flag]]="Y",(Table111[[#This Row],[Difference_Volume]]^2)/2,"")</f>
        <v>1.4417376020000371E-3</v>
      </c>
      <c r="M14" s="27">
        <f>IF(Table111[[#This Row],[Inclusion Flag]]="Y",Table111[[#This Row],[Pair_Variance V is sq(Diff)/2]]/(Table111[[#This Row],[Average_Volume]]^2),"")</f>
        <v>2.4473021110060132E-5</v>
      </c>
      <c r="P14" s="13" t="s">
        <v>57</v>
      </c>
      <c r="Q14" s="27">
        <v>6.9971939025000003</v>
      </c>
      <c r="R14" s="44">
        <v>7.7394928035000001</v>
      </c>
      <c r="S14" s="15" t="s">
        <v>1</v>
      </c>
      <c r="T14" s="27">
        <f>IF(Table111[[#This Row],[Inclusion Flag2]]="Y",(Table111[[#This Row],[Test_Volume2]]+Table111[[#This Row],[ReTest_Volume2]])/2,"")</f>
        <v>7.3683433530000002</v>
      </c>
      <c r="U14" s="27">
        <f>IF(Table111[[#This Row],[Inclusion Flag2]]="Y",Table111[[#This Row],[Test_Volume2]]-Table111[[#This Row],[ReTest_Volume2]],"")</f>
        <v>-0.74229890099999984</v>
      </c>
      <c r="V14" s="27">
        <f>IF(Table111[[#This Row],[Inclusion Flag2]]="Y",(Table111[[#This Row],[Difference_Volume2]]^2)/2,"")</f>
        <v>0.27550382921290378</v>
      </c>
      <c r="W14" s="27">
        <f>IF(Table111[[#This Row],[Inclusion Flag2]]="Y",Table111[[#This Row],[Pair_Variance V2 is sq(Diff)/2]]/(Table111[[#This Row],[Average_Volume2]]^2),"")</f>
        <v>5.0744377507520059E-3</v>
      </c>
    </row>
    <row r="15" spans="5:24" x14ac:dyDescent="0.4">
      <c r="F15" s="13" t="s">
        <v>57</v>
      </c>
      <c r="G15" s="27">
        <v>6.9409679999999998</v>
      </c>
      <c r="H15" s="27">
        <v>7.3497070000000004</v>
      </c>
      <c r="I15" s="15" t="s">
        <v>1</v>
      </c>
      <c r="J15" s="27">
        <f>IF(Table111[[#This Row],[Inclusion Flag]]="Y",(Table111[[#This Row],[Test_Volume]]+Table111[[#This Row],[ReTest_Volume]])/2,"")</f>
        <v>7.1453375000000001</v>
      </c>
      <c r="K15" s="27">
        <f>IF(Table111[[#This Row],[Inclusion Flag]]="Y",Table111[[#This Row],[ReTest_Volume]]-Table111[[#This Row],[Test_Volume]],"")</f>
        <v>0.40873900000000063</v>
      </c>
      <c r="L15" s="27">
        <f>IF(Table111[[#This Row],[Inclusion Flag]]="Y",(Table111[[#This Row],[Difference_Volume]]^2)/2,"")</f>
        <v>8.3533785060500257E-2</v>
      </c>
      <c r="M15" s="27">
        <f>IF(Table111[[#This Row],[Inclusion Flag]]="Y",Table111[[#This Row],[Pair_Variance V is sq(Diff)/2]]/(Table111[[#This Row],[Average_Volume]]^2),"")</f>
        <v>1.6361257005985098E-3</v>
      </c>
      <c r="P15" s="13" t="s">
        <v>57</v>
      </c>
      <c r="Q15" s="27">
        <v>6.8443119603999998</v>
      </c>
      <c r="R15" s="44">
        <v>7.2081963795999995</v>
      </c>
      <c r="S15" s="15" t="s">
        <v>1</v>
      </c>
      <c r="T15" s="27">
        <f>IF(Table111[[#This Row],[Inclusion Flag2]]="Y",(Table111[[#This Row],[Test_Volume2]]+Table111[[#This Row],[ReTest_Volume2]])/2,"")</f>
        <v>7.0262541699999996</v>
      </c>
      <c r="U15" s="27">
        <f>IF(Table111[[#This Row],[Inclusion Flag2]]="Y",Table111[[#This Row],[Test_Volume2]]-Table111[[#This Row],[ReTest_Volume2]],"")</f>
        <v>-0.3638844191999997</v>
      </c>
      <c r="V15" s="27">
        <f>IF(Table111[[#This Row],[Inclusion Flag2]]="Y",(Table111[[#This Row],[Difference_Volume2]]^2)/2,"")</f>
        <v>6.620593526826056E-2</v>
      </c>
      <c r="W15" s="27">
        <f>IF(Table111[[#This Row],[Inclusion Flag2]]="Y",Table111[[#This Row],[Pair_Variance V2 is sq(Diff)/2]]/(Table111[[#This Row],[Average_Volume2]]^2),"")</f>
        <v>1.3410631003613433E-3</v>
      </c>
    </row>
    <row r="16" spans="5:24" x14ac:dyDescent="0.4">
      <c r="F16" s="13" t="s">
        <v>57</v>
      </c>
      <c r="G16" s="27">
        <v>8.4173536000000002</v>
      </c>
      <c r="H16" s="27">
        <v>7.975765</v>
      </c>
      <c r="I16" s="15" t="s">
        <v>1</v>
      </c>
      <c r="J16" s="27">
        <f>IF(Table111[[#This Row],[Inclusion Flag]]="Y",(Table111[[#This Row],[Test_Volume]]+Table111[[#This Row],[ReTest_Volume]])/2,"")</f>
        <v>8.1965593000000005</v>
      </c>
      <c r="K16" s="27">
        <f>IF(Table111[[#This Row],[Inclusion Flag]]="Y",Table111[[#This Row],[ReTest_Volume]]-Table111[[#This Row],[Test_Volume]],"")</f>
        <v>-0.44158860000000022</v>
      </c>
      <c r="L16" s="27">
        <f>IF(Table111[[#This Row],[Inclusion Flag]]="Y",(Table111[[#This Row],[Difference_Volume]]^2)/2,"")</f>
        <v>9.7500245824980097E-2</v>
      </c>
      <c r="M16" s="27">
        <f>IF(Table111[[#This Row],[Inclusion Flag]]="Y",Table111[[#This Row],[Pair_Variance V is sq(Diff)/2]]/(Table111[[#This Row],[Average_Volume]]^2),"")</f>
        <v>1.4512510274061561E-3</v>
      </c>
      <c r="P16" s="13" t="s">
        <v>57</v>
      </c>
      <c r="Q16" s="27">
        <v>8.5418073527999994</v>
      </c>
      <c r="R16" s="44">
        <v>7.3768718831999998</v>
      </c>
      <c r="S16" s="15" t="s">
        <v>1</v>
      </c>
      <c r="T16" s="27">
        <f>IF(Table111[[#This Row],[Inclusion Flag2]]="Y",(Table111[[#This Row],[Test_Volume2]]+Table111[[#This Row],[ReTest_Volume2]])/2,"")</f>
        <v>7.9593396179999996</v>
      </c>
      <c r="U16" s="27">
        <f>IF(Table111[[#This Row],[Inclusion Flag2]]="Y",Table111[[#This Row],[Test_Volume2]]-Table111[[#This Row],[ReTest_Volume2]],"")</f>
        <v>1.1649354695999996</v>
      </c>
      <c r="V16" s="27">
        <f>IF(Table111[[#This Row],[Inclusion Flag2]]="Y",(Table111[[#This Row],[Difference_Volume2]]^2)/2,"")</f>
        <v>0.67853732416608581</v>
      </c>
      <c r="W16" s="27">
        <f>IF(Table111[[#This Row],[Inclusion Flag2]]="Y",Table111[[#This Row],[Pair_Variance V2 is sq(Diff)/2]]/(Table111[[#This Row],[Average_Volume2]]^2),"")</f>
        <v>1.0710744750275794E-2</v>
      </c>
    </row>
    <row r="17" spans="6:23" x14ac:dyDescent="0.4">
      <c r="F17" s="13" t="s">
        <v>57</v>
      </c>
      <c r="G17" s="27">
        <v>8.7496509499999995</v>
      </c>
      <c r="H17" s="27">
        <v>8.8058750000000003</v>
      </c>
      <c r="I17" s="15" t="s">
        <v>1</v>
      </c>
      <c r="J17" s="27">
        <f>IF(Table111[[#This Row],[Inclusion Flag]]="Y",(Table111[[#This Row],[Test_Volume]]+Table111[[#This Row],[ReTest_Volume]])/2,"")</f>
        <v>8.7777629749999999</v>
      </c>
      <c r="K17" s="27">
        <f>IF(Table111[[#This Row],[Inclusion Flag]]="Y",Table111[[#This Row],[ReTest_Volume]]-Table111[[#This Row],[Test_Volume]],"")</f>
        <v>5.6224050000000858E-2</v>
      </c>
      <c r="L17" s="27">
        <f>IF(Table111[[#This Row],[Inclusion Flag]]="Y",(Table111[[#This Row],[Difference_Volume]]^2)/2,"")</f>
        <v>1.5805718992012983E-3</v>
      </c>
      <c r="M17" s="27">
        <f>IF(Table111[[#This Row],[Inclusion Flag]]="Y",Table111[[#This Row],[Pair_Variance V is sq(Diff)/2]]/(Table111[[#This Row],[Average_Volume]]^2),"")</f>
        <v>2.0513820804620698E-5</v>
      </c>
      <c r="P17" s="13" t="s">
        <v>57</v>
      </c>
      <c r="Q17" s="27">
        <v>8.5064295977899995</v>
      </c>
      <c r="R17" s="44">
        <v>8.8728409557900001</v>
      </c>
      <c r="S17" s="15" t="s">
        <v>1</v>
      </c>
      <c r="T17" s="27">
        <f>IF(Table111[[#This Row],[Inclusion Flag2]]="Y",(Table111[[#This Row],[Test_Volume2]]+Table111[[#This Row],[ReTest_Volume2]])/2,"")</f>
        <v>8.6896352767899998</v>
      </c>
      <c r="U17" s="27">
        <f>IF(Table111[[#This Row],[Inclusion Flag2]]="Y",Table111[[#This Row],[Test_Volume2]]-Table111[[#This Row],[ReTest_Volume2]],"")</f>
        <v>-0.36641135800000058</v>
      </c>
      <c r="V17" s="27">
        <f>IF(Table111[[#This Row],[Inclusion Flag2]]="Y",(Table111[[#This Row],[Difference_Volume2]]^2)/2,"")</f>
        <v>6.7128641635702299E-2</v>
      </c>
      <c r="W17" s="27">
        <f>IF(Table111[[#This Row],[Inclusion Flag2]]="Y",Table111[[#This Row],[Pair_Variance V2 is sq(Diff)/2]]/(Table111[[#This Row],[Average_Volume2]]^2),"")</f>
        <v>8.8900614344562508E-4</v>
      </c>
    </row>
    <row r="18" spans="6:23" x14ac:dyDescent="0.4">
      <c r="F18" s="13" t="s">
        <v>59</v>
      </c>
      <c r="G18" s="27">
        <v>8.3238553999999993</v>
      </c>
      <c r="H18" s="27">
        <v>8.4211443999999993</v>
      </c>
      <c r="I18" s="15" t="s">
        <v>1</v>
      </c>
      <c r="J18" s="27">
        <f>IF(Table111[[#This Row],[Inclusion Flag]]="Y",(Table111[[#This Row],[Test_Volume]]+Table111[[#This Row],[ReTest_Volume]])/2,"")</f>
        <v>8.3724998999999993</v>
      </c>
      <c r="K18" s="27">
        <f>IF(Table111[[#This Row],[Inclusion Flag]]="Y",Table111[[#This Row],[ReTest_Volume]]-Table111[[#This Row],[Test_Volume]],"")</f>
        <v>9.7288999999999959E-2</v>
      </c>
      <c r="L18" s="27">
        <f>IF(Table111[[#This Row],[Inclusion Flag]]="Y",(Table111[[#This Row],[Difference_Volume]]^2)/2,"")</f>
        <v>4.7325747604999961E-3</v>
      </c>
      <c r="M18" s="27">
        <f>IF(Table111[[#This Row],[Inclusion Flag]]="Y",Table111[[#This Row],[Pair_Variance V is sq(Diff)/2]]/(Table111[[#This Row],[Average_Volume]]^2),"")</f>
        <v>6.7512964947226954E-5</v>
      </c>
      <c r="P18" s="13" t="s">
        <v>59</v>
      </c>
      <c r="Q18" s="27">
        <v>8.5013756854499984</v>
      </c>
      <c r="R18" s="44">
        <v>8.5291724102500002</v>
      </c>
      <c r="S18" s="15" t="s">
        <v>1</v>
      </c>
      <c r="T18" s="27">
        <f>IF(Table111[[#This Row],[Inclusion Flag2]]="Y",(Table111[[#This Row],[Test_Volume2]]+Table111[[#This Row],[ReTest_Volume2]])/2,"")</f>
        <v>8.5152740478499993</v>
      </c>
      <c r="U18" s="27">
        <f>IF(Table111[[#This Row],[Inclusion Flag2]]="Y",Table111[[#This Row],[Test_Volume2]]-Table111[[#This Row],[ReTest_Volume2]],"")</f>
        <v>-2.7796724800001726E-2</v>
      </c>
      <c r="V18" s="27">
        <f>IF(Table111[[#This Row],[Inclusion Flag2]]="Y",(Table111[[#This Row],[Difference_Volume2]]^2)/2,"")</f>
        <v>3.8632895480351551E-4</v>
      </c>
      <c r="W18" s="27">
        <f>IF(Table111[[#This Row],[Inclusion Flag2]]="Y",Table111[[#This Row],[Pair_Variance V2 is sq(Diff)/2]]/(Table111[[#This Row],[Average_Volume2]]^2),"")</f>
        <v>5.3279482779743572E-6</v>
      </c>
    </row>
    <row r="19" spans="6:23" x14ac:dyDescent="0.4">
      <c r="F19" s="13" t="s">
        <v>59</v>
      </c>
      <c r="G19" s="27">
        <v>9.1286964400000006</v>
      </c>
      <c r="H19" s="27">
        <v>9.2184047000000007</v>
      </c>
      <c r="I19" s="15" t="s">
        <v>1</v>
      </c>
      <c r="J19" s="27">
        <f>IF(Table111[[#This Row],[Inclusion Flag]]="Y",(Table111[[#This Row],[Test_Volume]]+Table111[[#This Row],[ReTest_Volume]])/2,"")</f>
        <v>9.1735505699999997</v>
      </c>
      <c r="K19" s="27">
        <f>IF(Table111[[#This Row],[Inclusion Flag]]="Y",Table111[[#This Row],[ReTest_Volume]]-Table111[[#This Row],[Test_Volume]],"")</f>
        <v>8.9708260000000095E-2</v>
      </c>
      <c r="L19" s="27">
        <f>IF(Table111[[#This Row],[Inclusion Flag]]="Y",(Table111[[#This Row],[Difference_Volume]]^2)/2,"")</f>
        <v>4.0237859561138081E-3</v>
      </c>
      <c r="M19" s="27">
        <f>IF(Table111[[#This Row],[Inclusion Flag]]="Y",Table111[[#This Row],[Pair_Variance V is sq(Diff)/2]]/(Table111[[#This Row],[Average_Volume]]^2),"")</f>
        <v>4.7814536668396375E-5</v>
      </c>
      <c r="P19" s="13" t="s">
        <v>59</v>
      </c>
      <c r="Q19" s="27">
        <v>8.9562306497245938</v>
      </c>
      <c r="R19" s="44">
        <v>8.9518084432929665</v>
      </c>
      <c r="S19" s="15" t="s">
        <v>1</v>
      </c>
      <c r="T19" s="27">
        <f>IF(Table111[[#This Row],[Inclusion Flag2]]="Y",(Table111[[#This Row],[Test_Volume2]]+Table111[[#This Row],[ReTest_Volume2]])/2,"")</f>
        <v>8.9540195465087802</v>
      </c>
      <c r="U19" s="27">
        <f>IF(Table111[[#This Row],[Inclusion Flag2]]="Y",Table111[[#This Row],[Test_Volume2]]-Table111[[#This Row],[ReTest_Volume2]],"")</f>
        <v>4.4222064316272736E-3</v>
      </c>
      <c r="V19" s="27">
        <f>IF(Table111[[#This Row],[Inclusion Flag2]]="Y",(Table111[[#This Row],[Difference_Volume2]]^2)/2,"")</f>
        <v>9.777954861962812E-6</v>
      </c>
      <c r="W19" s="27">
        <f>IF(Table111[[#This Row],[Inclusion Flag2]]="Y",Table111[[#This Row],[Pair_Variance V2 is sq(Diff)/2]]/(Table111[[#This Row],[Average_Volume2]]^2),"")</f>
        <v>1.2195846564384431E-7</v>
      </c>
    </row>
    <row r="20" spans="6:23" x14ac:dyDescent="0.4">
      <c r="F20" s="13" t="s">
        <v>59</v>
      </c>
      <c r="G20" s="27">
        <v>9.1166940000000007</v>
      </c>
      <c r="H20" s="27">
        <v>9.3112716599999992</v>
      </c>
      <c r="I20" s="15" t="s">
        <v>1</v>
      </c>
      <c r="J20" s="27">
        <f>IF(Table111[[#This Row],[Inclusion Flag]]="Y",(Table111[[#This Row],[Test_Volume]]+Table111[[#This Row],[ReTest_Volume]])/2,"")</f>
        <v>9.2139828299999991</v>
      </c>
      <c r="K20" s="27">
        <f>IF(Table111[[#This Row],[Inclusion Flag]]="Y",Table111[[#This Row],[ReTest_Volume]]-Table111[[#This Row],[Test_Volume]],"")</f>
        <v>0.19457765999999843</v>
      </c>
      <c r="L20" s="27">
        <f>IF(Table111[[#This Row],[Inclusion Flag]]="Y",(Table111[[#This Row],[Difference_Volume]]^2)/2,"")</f>
        <v>1.8930232885537496E-2</v>
      </c>
      <c r="M20" s="27">
        <f>IF(Table111[[#This Row],[Inclusion Flag]]="Y",Table111[[#This Row],[Pair_Variance V is sq(Diff)/2]]/(Table111[[#This Row],[Average_Volume]]^2),"")</f>
        <v>2.2297756042483324E-4</v>
      </c>
      <c r="P20" s="13" t="s">
        <v>59</v>
      </c>
      <c r="Q20" s="27">
        <v>9.0364626888185509</v>
      </c>
      <c r="R20" s="44">
        <v>8.9840279575437503</v>
      </c>
      <c r="S20" s="15" t="s">
        <v>1</v>
      </c>
      <c r="T20" s="27">
        <f>IF(Table111[[#This Row],[Inclusion Flag2]]="Y",(Table111[[#This Row],[Test_Volume2]]+Table111[[#This Row],[ReTest_Volume2]])/2,"")</f>
        <v>9.0102453231811506</v>
      </c>
      <c r="U20" s="27">
        <f>IF(Table111[[#This Row],[Inclusion Flag2]]="Y",Table111[[#This Row],[Test_Volume2]]-Table111[[#This Row],[ReTest_Volume2]],"")</f>
        <v>5.2434731274800583E-2</v>
      </c>
      <c r="V20" s="27">
        <f>IF(Table111[[#This Row],[Inclusion Flag2]]="Y",(Table111[[#This Row],[Difference_Volume2]]^2)/2,"")</f>
        <v>1.3747005219302752E-3</v>
      </c>
      <c r="W20" s="27">
        <f>IF(Table111[[#This Row],[Inclusion Flag2]]="Y",Table111[[#This Row],[Pair_Variance V2 is sq(Diff)/2]]/(Table111[[#This Row],[Average_Volume2]]^2),"")</f>
        <v>1.6933037340817377E-5</v>
      </c>
    </row>
    <row r="21" spans="6:23" x14ac:dyDescent="0.4">
      <c r="U21" s="13" t="str">
        <f>IF(Table111[[#This Row],[Inclusion Flag]]="Y",Table111[[#This Row],[ReTest_Volume]]-Table111[[#This Row],[Test_Volume]],"")</f>
        <v/>
      </c>
      <c r="V21" s="13" t="str">
        <f>IF(Table111[[#This Row],[Inclusion Flag]]="Y",(Table111[[#This Row],[Difference_Volume]]^2)/2,"")</f>
        <v/>
      </c>
      <c r="W21" s="13" t="str">
        <f>IF(Table111[[#This Row],[Inclusion Flag]]="Y",Table111[[#This Row],[Pair_Variance V is sq(Diff)/2]]/(Table111[[#This Row],[Average_Volume]]^2),"")</f>
        <v/>
      </c>
    </row>
    <row r="23" spans="6:23" x14ac:dyDescent="0.4">
      <c r="G23" s="13">
        <f>G3</f>
        <v>0</v>
      </c>
      <c r="P23" s="13" t="s">
        <v>125</v>
      </c>
    </row>
    <row r="24" spans="6:23" ht="15" thickBot="1" x14ac:dyDescent="0.45"/>
    <row r="25" spans="6:23" x14ac:dyDescent="0.4">
      <c r="G25" s="19" t="s">
        <v>7</v>
      </c>
      <c r="H25" s="20"/>
      <c r="I25" s="21"/>
      <c r="J25" s="21" t="s">
        <v>18</v>
      </c>
      <c r="K25" s="20" t="s">
        <v>19</v>
      </c>
      <c r="L25" s="20"/>
      <c r="M25" s="22"/>
      <c r="P25" s="19" t="s">
        <v>7</v>
      </c>
      <c r="Q25" s="20"/>
      <c r="R25" s="21"/>
      <c r="S25" s="21" t="s">
        <v>18</v>
      </c>
      <c r="T25" s="20" t="s">
        <v>19</v>
      </c>
      <c r="U25" s="20"/>
      <c r="V25" s="22"/>
    </row>
    <row r="26" spans="6:23" x14ac:dyDescent="0.4">
      <c r="G26" s="23" t="s">
        <v>8</v>
      </c>
      <c r="H26" s="13">
        <f>COUNT(J5:J20)</f>
        <v>16</v>
      </c>
      <c r="I26" s="24"/>
      <c r="J26" s="15" t="s">
        <v>20</v>
      </c>
      <c r="K26" s="15" t="s">
        <v>21</v>
      </c>
      <c r="M26" s="25"/>
      <c r="P26" s="23" t="s">
        <v>8</v>
      </c>
      <c r="Q26" s="13">
        <f>COUNT(T5:T20)</f>
        <v>16</v>
      </c>
      <c r="R26" s="24"/>
      <c r="S26" s="15" t="s">
        <v>20</v>
      </c>
      <c r="T26" s="15" t="s">
        <v>21</v>
      </c>
      <c r="V26" s="25"/>
    </row>
    <row r="27" spans="6:23" x14ac:dyDescent="0.4">
      <c r="G27" s="23" t="s">
        <v>9</v>
      </c>
      <c r="H27" s="27">
        <f>AVERAGE(M5:M20)</f>
        <v>6.358590144256146E-3</v>
      </c>
      <c r="I27" s="24" t="s">
        <v>15</v>
      </c>
      <c r="J27" s="27">
        <f>(H26-1)/_xlfn.CHISQ.INV(0.975,H26-1)</f>
        <v>0.54568486686424722</v>
      </c>
      <c r="K27" s="27">
        <f>(H26-1)/_xlfn.CHISQ.INV(0.025,H26-1)</f>
        <v>2.3953481208722591</v>
      </c>
      <c r="M27" s="25"/>
      <c r="P27" s="23" t="s">
        <v>9</v>
      </c>
      <c r="Q27" s="27">
        <f>AVERAGE(W5:W20)</f>
        <v>6.2840563548614463E-3</v>
      </c>
      <c r="R27" s="24" t="s">
        <v>15</v>
      </c>
      <c r="S27" s="27">
        <f>(Q26-1)/_xlfn.CHISQ.INV(0.975,Q26-1)</f>
        <v>0.54568486686424722</v>
      </c>
      <c r="T27" s="27">
        <f>(Q26-1)/_xlfn.CHISQ.INV(0.025,Q26-1)</f>
        <v>2.3953481208722591</v>
      </c>
      <c r="V27" s="25"/>
    </row>
    <row r="28" spans="6:23" x14ac:dyDescent="0.4">
      <c r="G28" s="23" t="s">
        <v>10</v>
      </c>
      <c r="H28" s="27">
        <f>100*SQRT(H27)</f>
        <v>7.9740768395195101</v>
      </c>
      <c r="I28" s="24" t="s">
        <v>16</v>
      </c>
      <c r="J28" s="27">
        <f>H28*SQRT(J$27)</f>
        <v>5.890489297429145</v>
      </c>
      <c r="K28" s="27">
        <f>H28*SQRT(K$27)</f>
        <v>12.341408733787576</v>
      </c>
      <c r="L28" s="13" t="s">
        <v>22</v>
      </c>
      <c r="M28" s="25"/>
      <c r="P28" s="23" t="s">
        <v>10</v>
      </c>
      <c r="Q28" s="27">
        <f>100*SQRT(Q27)</f>
        <v>7.9272040183544199</v>
      </c>
      <c r="R28" s="24" t="s">
        <v>16</v>
      </c>
      <c r="S28" s="27">
        <f>Q28*SQRT(S$27)</f>
        <v>5.8558641167380205</v>
      </c>
      <c r="T28" s="27">
        <f>Q28*SQRT(T$27)</f>
        <v>12.268864079886427</v>
      </c>
      <c r="U28" s="13" t="s">
        <v>22</v>
      </c>
      <c r="V28" s="25"/>
    </row>
    <row r="29" spans="6:23" x14ac:dyDescent="0.4">
      <c r="G29" s="23" t="s">
        <v>11</v>
      </c>
      <c r="H29" s="27">
        <f>AVERAGE(L5:L20)</f>
        <v>0.24706280263595448</v>
      </c>
      <c r="I29" s="24" t="s">
        <v>44</v>
      </c>
      <c r="J29" s="27"/>
      <c r="K29" s="27"/>
      <c r="M29" s="25"/>
      <c r="P29" s="23" t="s">
        <v>11</v>
      </c>
      <c r="Q29" s="27">
        <f>AVERAGE(V5:V20)</f>
        <v>0.27476267478947469</v>
      </c>
      <c r="R29" s="24" t="s">
        <v>44</v>
      </c>
      <c r="S29" s="27"/>
      <c r="T29" s="27"/>
      <c r="V29" s="25"/>
    </row>
    <row r="30" spans="6:23" x14ac:dyDescent="0.4">
      <c r="G30" s="23" t="s">
        <v>17</v>
      </c>
      <c r="H30" s="27">
        <f>SQRT(H29)</f>
        <v>0.49705412445321734</v>
      </c>
      <c r="I30" s="24" t="s">
        <v>44</v>
      </c>
      <c r="J30" s="27">
        <f>H30*SQRT(J$27)</f>
        <v>0.36717629629853371</v>
      </c>
      <c r="K30" s="27">
        <f>H30*SQRT(K$27)</f>
        <v>0.76928630563104883</v>
      </c>
      <c r="L30" s="13" t="s">
        <v>24</v>
      </c>
      <c r="M30" s="25"/>
      <c r="P30" s="23" t="s">
        <v>17</v>
      </c>
      <c r="Q30" s="27">
        <f>SQRT(Q29)</f>
        <v>0.52417809453417141</v>
      </c>
      <c r="R30" s="24" t="s">
        <v>44</v>
      </c>
      <c r="S30" s="27">
        <f>Q30*SQRT(S$27)</f>
        <v>0.38721290475881481</v>
      </c>
      <c r="T30" s="27">
        <f>Q30*SQRT(T$27)</f>
        <v>0.8112658360505538</v>
      </c>
      <c r="U30" s="13" t="s">
        <v>26</v>
      </c>
      <c r="V30" s="25"/>
    </row>
    <row r="31" spans="6:23" x14ac:dyDescent="0.4">
      <c r="G31" s="23" t="s">
        <v>12</v>
      </c>
      <c r="H31" s="27">
        <f>1.96 * SQRT(2*H29)</f>
        <v>1.3777637407090395</v>
      </c>
      <c r="I31" s="24" t="s">
        <v>44</v>
      </c>
      <c r="J31" s="27">
        <f>H31*SQRT(J$27)</f>
        <v>1.0177607680943246</v>
      </c>
      <c r="K31" s="27">
        <f>H31*SQRT(K$27)</f>
        <v>2.1323528484717933</v>
      </c>
      <c r="L31" s="13" t="s">
        <v>25</v>
      </c>
      <c r="M31" s="25"/>
      <c r="P31" s="23" t="s">
        <v>12</v>
      </c>
      <c r="Q31" s="27">
        <f>1.96 * SQRT(2*Q29)</f>
        <v>1.4529475499626583</v>
      </c>
      <c r="R31" s="24" t="s">
        <v>44</v>
      </c>
      <c r="S31" s="27">
        <f>Q31*SQRT(S$27)</f>
        <v>1.0732994132141629</v>
      </c>
      <c r="T31" s="27">
        <f>Q31*SQRT(T$27)</f>
        <v>2.2487141701439759</v>
      </c>
      <c r="U31" s="13" t="s">
        <v>27</v>
      </c>
      <c r="V31" s="25"/>
    </row>
    <row r="32" spans="6:23" x14ac:dyDescent="0.4">
      <c r="G32" s="23" t="s">
        <v>13</v>
      </c>
      <c r="H32" s="27">
        <f>AVERAGE(J5:J20)</f>
        <v>7.7383077568750007</v>
      </c>
      <c r="I32" s="24" t="s">
        <v>44</v>
      </c>
      <c r="M32" s="25"/>
      <c r="P32" s="23" t="s">
        <v>13</v>
      </c>
      <c r="Q32" s="27">
        <f>AVERAGE(T5:T20)</f>
        <v>7.5861962422267499</v>
      </c>
      <c r="R32" s="24" t="s">
        <v>44</v>
      </c>
      <c r="V32" s="25"/>
    </row>
    <row r="33" spans="6:22" x14ac:dyDescent="0.4">
      <c r="G33" s="23" t="s">
        <v>14</v>
      </c>
      <c r="H33" s="27">
        <f>AVERAGE(K5:K20)</f>
        <v>-0.17570339750000002</v>
      </c>
      <c r="I33" s="24" t="s">
        <v>44</v>
      </c>
      <c r="M33" s="25"/>
      <c r="P33" s="23" t="s">
        <v>14</v>
      </c>
      <c r="Q33" s="27">
        <f>AVERAGE(U5:U20)</f>
        <v>0.16792540073492429</v>
      </c>
      <c r="R33" s="24" t="s">
        <v>44</v>
      </c>
      <c r="V33" s="25"/>
    </row>
    <row r="34" spans="6:22" ht="15" thickBot="1" x14ac:dyDescent="0.45">
      <c r="G34" s="28" t="s">
        <v>23</v>
      </c>
      <c r="H34" s="29" t="s">
        <v>23</v>
      </c>
      <c r="I34" s="30"/>
      <c r="J34" s="31"/>
      <c r="K34" s="31"/>
      <c r="L34" s="31"/>
      <c r="M34" s="32"/>
      <c r="P34" s="28" t="s">
        <v>23</v>
      </c>
      <c r="Q34" s="29" t="s">
        <v>23</v>
      </c>
      <c r="R34" s="30"/>
      <c r="S34" s="31"/>
      <c r="T34" s="31"/>
      <c r="U34" s="31"/>
      <c r="V34" s="32"/>
    </row>
    <row r="35" spans="6:22" x14ac:dyDescent="0.4">
      <c r="I35" s="15"/>
      <c r="R35" s="15"/>
    </row>
    <row r="36" spans="6:22" x14ac:dyDescent="0.4">
      <c r="I36" s="15"/>
      <c r="R36" s="15"/>
    </row>
    <row r="37" spans="6:22" x14ac:dyDescent="0.4">
      <c r="F37" s="47" t="s">
        <v>35</v>
      </c>
      <c r="G37" s="48" t="s">
        <v>40</v>
      </c>
      <c r="H37" s="48"/>
      <c r="I37" s="49"/>
      <c r="J37" s="48"/>
      <c r="K37" s="48"/>
    </row>
    <row r="38" spans="6:22" x14ac:dyDescent="0.4">
      <c r="F38" s="50" t="s">
        <v>36</v>
      </c>
      <c r="G38" s="51"/>
      <c r="H38" s="51"/>
      <c r="I38" s="52"/>
      <c r="J38" s="51"/>
      <c r="K38" s="51"/>
    </row>
    <row r="39" spans="6:22" x14ac:dyDescent="0.4">
      <c r="F39" s="50" t="s">
        <v>39</v>
      </c>
      <c r="G39" s="51"/>
      <c r="H39" s="51"/>
      <c r="I39" s="52"/>
      <c r="J39" s="51"/>
      <c r="K39" s="51"/>
    </row>
    <row r="40" spans="6:22" x14ac:dyDescent="0.4">
      <c r="F40" s="50" t="s">
        <v>37</v>
      </c>
      <c r="G40" s="51"/>
      <c r="H40" s="51"/>
      <c r="I40" s="52"/>
      <c r="J40" s="51"/>
      <c r="K40" s="51"/>
    </row>
    <row r="41" spans="6:22" x14ac:dyDescent="0.4">
      <c r="F41" s="50" t="s">
        <v>38</v>
      </c>
      <c r="G41" s="51"/>
      <c r="H41" s="51"/>
      <c r="I41" s="52"/>
      <c r="J41" s="51"/>
      <c r="K41" s="51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36B1E-00C3-4D99-B921-F0ACCCC45367}">
  <dimension ref="E2:M22"/>
  <sheetViews>
    <sheetView topLeftCell="D2" zoomScaleNormal="100" workbookViewId="0">
      <pane xSplit="2" ySplit="3" topLeftCell="F5" activePane="bottomRight" state="frozen"/>
      <selection activeCell="D2" sqref="D2"/>
      <selection pane="topRight" activeCell="G2" sqref="G2"/>
      <selection pane="bottomLeft" activeCell="D5" sqref="D5"/>
      <selection pane="bottomRight" activeCell="D14" sqref="A1:XFD1048576"/>
    </sheetView>
  </sheetViews>
  <sheetFormatPr defaultRowHeight="14.6" x14ac:dyDescent="0.4"/>
  <cols>
    <col min="1" max="4" width="9.23046875" style="13"/>
    <col min="5" max="5" width="15.69140625" style="13" customWidth="1"/>
    <col min="6" max="6" width="12.69140625" style="13" customWidth="1"/>
    <col min="7" max="7" width="14.84375" style="13" customWidth="1"/>
    <col min="8" max="8" width="17.15234375" style="13" customWidth="1"/>
    <col min="9" max="9" width="15.84375" style="13" customWidth="1"/>
    <col min="10" max="13" width="12.69140625" style="13" customWidth="1"/>
    <col min="14" max="16384" width="9.23046875" style="13"/>
  </cols>
  <sheetData>
    <row r="2" spans="5:13" ht="23.25" customHeight="1" x14ac:dyDescent="0.4"/>
    <row r="3" spans="5:13" ht="14.25" customHeight="1" x14ac:dyDescent="0.4">
      <c r="F3" s="13" t="s">
        <v>34</v>
      </c>
    </row>
    <row r="4" spans="5:13" x14ac:dyDescent="0.4">
      <c r="E4" s="13" t="s">
        <v>82</v>
      </c>
      <c r="F4" s="13" t="s">
        <v>83</v>
      </c>
      <c r="G4" s="13" t="s">
        <v>84</v>
      </c>
      <c r="H4" s="13" t="s">
        <v>90</v>
      </c>
      <c r="I4" s="13" t="s">
        <v>85</v>
      </c>
      <c r="J4" s="13" t="s">
        <v>86</v>
      </c>
      <c r="K4" s="13" t="s">
        <v>92</v>
      </c>
      <c r="L4" s="13" t="s">
        <v>91</v>
      </c>
      <c r="M4" s="13" t="s">
        <v>41</v>
      </c>
    </row>
    <row r="5" spans="5:13" x14ac:dyDescent="0.4">
      <c r="E5" s="13" t="s">
        <v>62</v>
      </c>
      <c r="F5" s="27">
        <v>7.0389999999999997</v>
      </c>
      <c r="G5" s="27">
        <v>6.7990000000000004</v>
      </c>
      <c r="H5" s="15" t="s">
        <v>1</v>
      </c>
      <c r="I5" s="27">
        <f>IF(Table1367[[#This Row],[Inclusion Flag]]="Y",(Table1367[[#This Row],[Test_Volume]]+Table1367[[#This Row],[ReTest_Volume]])/2,"")</f>
        <v>6.9190000000000005</v>
      </c>
      <c r="J5" s="27">
        <f>IF(Table1367[[#This Row],[Inclusion Flag]]="Y",(Table1367[[#This Row],[ReTest_Volume]]-Table1367[[#This Row],[Test_Volume]]),"")</f>
        <v>-0.23999999999999932</v>
      </c>
      <c r="K5" s="27">
        <f>IF(Table1367[[#This Row],[Inclusion Flag]]="Y",(Table1367[[#This Row],[Difference_Volume]]^2)/2,"")</f>
        <v>2.879999999999984E-2</v>
      </c>
      <c r="L5" s="27">
        <f>IF(Table1367[[#This Row],[Inclusion Flag]]="Y",Table1367[[#This Row],[Pair_Variance V is sq(Diff)/2]]/(Table1367[[#This Row],[Average_Volume]]^2),"")</f>
        <v>6.0159722810734599E-4</v>
      </c>
    </row>
    <row r="6" spans="5:13" ht="19.5" customHeight="1" x14ac:dyDescent="0.4">
      <c r="E6" s="13" t="s">
        <v>63</v>
      </c>
      <c r="F6" s="27">
        <v>7.7759999999999998</v>
      </c>
      <c r="G6" s="27">
        <v>8.0760000000000005</v>
      </c>
      <c r="H6" s="15" t="s">
        <v>1</v>
      </c>
      <c r="I6" s="27">
        <f>IF(Table1367[[#This Row],[Inclusion Flag]]="Y",(Table1367[[#This Row],[Test_Volume]]+Table1367[[#This Row],[ReTest_Volume]])/2,"")</f>
        <v>7.9260000000000002</v>
      </c>
      <c r="J6" s="27">
        <f>IF(Table1367[[#This Row],[Inclusion Flag]]="Y",(Table1367[[#This Row],[ReTest_Volume]]-Table1367[[#This Row],[Test_Volume]]),"")</f>
        <v>0.30000000000000071</v>
      </c>
      <c r="K6" s="27">
        <f>IF(Table1367[[#This Row],[Inclusion Flag]]="Y",(Table1367[[#This Row],[Difference_Volume]]^2)/2,"")</f>
        <v>4.5000000000000213E-2</v>
      </c>
      <c r="L6" s="27">
        <f>IF(Table1367[[#This Row],[Inclusion Flag]]="Y",Table1367[[#This Row],[Pair_Variance V is sq(Diff)/2]]/(Table1367[[#This Row],[Average_Volume]]^2),"")</f>
        <v>7.1631554788684378E-4</v>
      </c>
    </row>
    <row r="7" spans="5:13" ht="17.25" customHeight="1" x14ac:dyDescent="0.4">
      <c r="E7" s="13" t="s">
        <v>64</v>
      </c>
      <c r="F7" s="27">
        <v>6.5960000000000001</v>
      </c>
      <c r="G7" s="27">
        <v>6.58</v>
      </c>
      <c r="H7" s="15" t="s">
        <v>1</v>
      </c>
      <c r="I7" s="27">
        <f>IF(Table1367[[#This Row],[Inclusion Flag]]="Y",(Table1367[[#This Row],[Test_Volume]]+Table1367[[#This Row],[ReTest_Volume]])/2,"")</f>
        <v>6.5880000000000001</v>
      </c>
      <c r="J7" s="27">
        <f>IF(Table1367[[#This Row],[Inclusion Flag]]="Y",(Table1367[[#This Row],[ReTest_Volume]]-Table1367[[#This Row],[Test_Volume]]),"")</f>
        <v>-1.6000000000000014E-2</v>
      </c>
      <c r="K7" s="27">
        <f>IF(Table1367[[#This Row],[Inclusion Flag]]="Y",(Table1367[[#This Row],[Difference_Volume]]^2)/2,"")</f>
        <v>1.2800000000000024E-4</v>
      </c>
      <c r="L7" s="27">
        <f>IF(Table1367[[#This Row],[Inclusion Flag]]="Y",Table1367[[#This Row],[Pair_Variance V is sq(Diff)/2]]/(Table1367[[#This Row],[Average_Volume]]^2),"")</f>
        <v>2.9491902445210551E-6</v>
      </c>
    </row>
    <row r="8" spans="5:13" ht="18" customHeight="1" x14ac:dyDescent="0.4">
      <c r="E8" s="13" t="s">
        <v>64</v>
      </c>
      <c r="F8" s="27">
        <v>7.782</v>
      </c>
      <c r="G8" s="27">
        <v>7.8380000000000001</v>
      </c>
      <c r="H8" s="15" t="s">
        <v>1</v>
      </c>
      <c r="I8" s="27">
        <f>IF(Table1367[[#This Row],[Inclusion Flag]]="Y",(Table1367[[#This Row],[Test_Volume]]+Table1367[[#This Row],[ReTest_Volume]])/2,"")</f>
        <v>7.8100000000000005</v>
      </c>
      <c r="J8" s="27">
        <f>IF(Table1367[[#This Row],[Inclusion Flag]]="Y",(Table1367[[#This Row],[ReTest_Volume]]-Table1367[[#This Row],[Test_Volume]]),"")</f>
        <v>5.600000000000005E-2</v>
      </c>
      <c r="K8" s="27">
        <f>IF(Table1367[[#This Row],[Inclusion Flag]]="Y",(Table1367[[#This Row],[Difference_Volume]]^2)/2,"")</f>
        <v>1.5680000000000028E-3</v>
      </c>
      <c r="L8" s="27">
        <f>IF(Table1367[[#This Row],[Inclusion Flag]]="Y",Table1367[[#This Row],[Pair_Variance V is sq(Diff)/2]]/(Table1367[[#This Row],[Average_Volume]]^2),"")</f>
        <v>2.570656156705105E-5</v>
      </c>
    </row>
    <row r="10" spans="5:13" ht="15" thickBot="1" x14ac:dyDescent="0.45"/>
    <row r="11" spans="5:13" x14ac:dyDescent="0.4">
      <c r="F11" s="19" t="s">
        <v>7</v>
      </c>
      <c r="G11" s="20"/>
      <c r="H11" s="21"/>
      <c r="I11" s="21" t="s">
        <v>18</v>
      </c>
      <c r="J11" s="20" t="s">
        <v>19</v>
      </c>
      <c r="K11" s="20"/>
      <c r="L11" s="22"/>
    </row>
    <row r="12" spans="5:13" x14ac:dyDescent="0.4">
      <c r="F12" s="23" t="s">
        <v>8</v>
      </c>
      <c r="G12" s="13">
        <f>COUNT(I5:I8)</f>
        <v>4</v>
      </c>
      <c r="H12" s="24"/>
      <c r="I12" s="15" t="s">
        <v>20</v>
      </c>
      <c r="J12" s="15" t="s">
        <v>21</v>
      </c>
      <c r="L12" s="25"/>
    </row>
    <row r="13" spans="5:13" x14ac:dyDescent="0.4">
      <c r="F13" s="23" t="s">
        <v>9</v>
      </c>
      <c r="G13" s="27">
        <f>AVERAGE(L5:L8)</f>
        <v>3.3664213195144045E-4</v>
      </c>
      <c r="H13" s="24" t="s">
        <v>15</v>
      </c>
      <c r="I13" s="27">
        <f>(G12-1)/_xlfn.CHISQ.INV(0.975,G12-1)</f>
        <v>0.32091040640961821</v>
      </c>
      <c r="J13" s="27">
        <f>(G12-1)/_xlfn.CHISQ.INV(0.025,G12-1)</f>
        <v>13.902064788082491</v>
      </c>
      <c r="L13" s="25"/>
    </row>
    <row r="14" spans="5:13" x14ac:dyDescent="0.4">
      <c r="F14" s="23" t="s">
        <v>10</v>
      </c>
      <c r="G14" s="27">
        <f>100*SQRT(G13)</f>
        <v>1.8347810004233214</v>
      </c>
      <c r="H14" s="24" t="s">
        <v>16</v>
      </c>
      <c r="I14" s="27">
        <f>G14*SQRT(I$13)</f>
        <v>1.0393842570442224</v>
      </c>
      <c r="J14" s="27">
        <f>G14*SQRT(J$13)</f>
        <v>6.8410677008688774</v>
      </c>
      <c r="K14" s="13" t="s">
        <v>22</v>
      </c>
      <c r="L14" s="25"/>
    </row>
    <row r="15" spans="5:13" x14ac:dyDescent="0.4">
      <c r="F15" s="23" t="s">
        <v>11</v>
      </c>
      <c r="G15" s="27">
        <f>AVERAGE(K5:K8)</f>
        <v>1.8874000000000016E-2</v>
      </c>
      <c r="H15" s="24" t="s">
        <v>44</v>
      </c>
      <c r="I15" s="27"/>
      <c r="J15" s="27"/>
      <c r="L15" s="25"/>
    </row>
    <row r="16" spans="5:13" x14ac:dyDescent="0.4">
      <c r="F16" s="23" t="s">
        <v>17</v>
      </c>
      <c r="G16" s="27">
        <f>SQRT(G15)</f>
        <v>0.13738267721950981</v>
      </c>
      <c r="H16" s="24" t="s">
        <v>44</v>
      </c>
      <c r="I16" s="27">
        <f>G16*SQRT(I$13)</f>
        <v>7.7825850529082807E-2</v>
      </c>
      <c r="J16" s="27">
        <f>G16*SQRT(J$13)</f>
        <v>0.51223780689272558</v>
      </c>
      <c r="K16" s="13" t="s">
        <v>45</v>
      </c>
      <c r="L16" s="25"/>
    </row>
    <row r="17" spans="6:12" x14ac:dyDescent="0.4">
      <c r="F17" s="23" t="s">
        <v>12</v>
      </c>
      <c r="G17" s="27">
        <f>1.96 * SQRT(2*G15)</f>
        <v>0.38080535290355377</v>
      </c>
      <c r="H17" s="24" t="s">
        <v>44</v>
      </c>
      <c r="I17" s="27">
        <f>G17*SQRT(I$13)</f>
        <v>0.21572225171004245</v>
      </c>
      <c r="J17" s="27">
        <f>G17*SQRT(J$13)</f>
        <v>1.4198507611891682</v>
      </c>
      <c r="K17" s="13" t="s">
        <v>46</v>
      </c>
      <c r="L17" s="25"/>
    </row>
    <row r="18" spans="6:12" x14ac:dyDescent="0.4">
      <c r="F18" s="23" t="s">
        <v>13</v>
      </c>
      <c r="G18" s="27">
        <f>AVERAGE(I5:I8)</f>
        <v>7.3107500000000005</v>
      </c>
      <c r="H18" s="24" t="s">
        <v>44</v>
      </c>
      <c r="L18" s="25"/>
    </row>
    <row r="19" spans="6:12" x14ac:dyDescent="0.4">
      <c r="F19" s="23" t="s">
        <v>14</v>
      </c>
      <c r="G19" s="27">
        <f>AVERAGE(J5:J8)</f>
        <v>2.5000000000000355E-2</v>
      </c>
      <c r="H19" s="24" t="s">
        <v>44</v>
      </c>
      <c r="L19" s="25"/>
    </row>
    <row r="20" spans="6:12" ht="15" thickBot="1" x14ac:dyDescent="0.45">
      <c r="F20" s="28" t="s">
        <v>23</v>
      </c>
      <c r="G20" s="29" t="s">
        <v>23</v>
      </c>
      <c r="H20" s="30"/>
      <c r="I20" s="31"/>
      <c r="J20" s="31"/>
      <c r="K20" s="31"/>
      <c r="L20" s="32"/>
    </row>
    <row r="21" spans="6:12" x14ac:dyDescent="0.4">
      <c r="H21" s="15"/>
    </row>
    <row r="22" spans="6:12" x14ac:dyDescent="0.4">
      <c r="H22" s="1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76936-FB71-407B-9158-04D656649DA1}">
  <dimension ref="E2:M31"/>
  <sheetViews>
    <sheetView topLeftCell="D2" zoomScale="96" zoomScaleNormal="96" workbookViewId="0">
      <pane xSplit="2" ySplit="3" topLeftCell="F5" activePane="bottomRight" state="frozen"/>
      <selection activeCell="D2" sqref="D2"/>
      <selection pane="topRight" activeCell="G2" sqref="G2"/>
      <selection pane="bottomLeft" activeCell="D5" sqref="D5"/>
      <selection pane="bottomRight" activeCell="D23" sqref="A1:XFD1048576"/>
    </sheetView>
  </sheetViews>
  <sheetFormatPr defaultRowHeight="14.6" x14ac:dyDescent="0.4"/>
  <cols>
    <col min="1" max="4" width="9.23046875" style="13"/>
    <col min="5" max="5" width="15.69140625" style="13" customWidth="1"/>
    <col min="6" max="6" width="12.69140625" style="13" customWidth="1"/>
    <col min="7" max="7" width="12.84375" style="13" customWidth="1"/>
    <col min="8" max="8" width="17.15234375" style="13" customWidth="1"/>
    <col min="9" max="9" width="15.84375" style="13" customWidth="1"/>
    <col min="10" max="13" width="12.69140625" style="13" customWidth="1"/>
    <col min="14" max="16384" width="9.23046875" style="13"/>
  </cols>
  <sheetData>
    <row r="2" spans="5:13" ht="23.25" customHeight="1" x14ac:dyDescent="0.4"/>
    <row r="3" spans="5:13" ht="14.25" customHeight="1" x14ac:dyDescent="0.4">
      <c r="F3" s="13" t="s">
        <v>34</v>
      </c>
    </row>
    <row r="4" spans="5:13" x14ac:dyDescent="0.4">
      <c r="E4" s="13" t="s">
        <v>60</v>
      </c>
      <c r="F4" s="13" t="s">
        <v>48</v>
      </c>
      <c r="G4" s="13" t="s">
        <v>47</v>
      </c>
      <c r="H4" s="13" t="s">
        <v>2</v>
      </c>
      <c r="I4" s="13" t="s">
        <v>3</v>
      </c>
      <c r="J4" s="13" t="s">
        <v>4</v>
      </c>
      <c r="K4" s="13" t="s">
        <v>5</v>
      </c>
      <c r="L4" s="13" t="s">
        <v>6</v>
      </c>
      <c r="M4" s="13" t="s">
        <v>41</v>
      </c>
    </row>
    <row r="5" spans="5:13" x14ac:dyDescent="0.4">
      <c r="E5" s="13" t="s">
        <v>29</v>
      </c>
      <c r="F5" s="27">
        <v>7.3711857790000002</v>
      </c>
      <c r="G5" s="27">
        <v>7.8115119933999999</v>
      </c>
      <c r="H5" s="15" t="s">
        <v>1</v>
      </c>
      <c r="I5" s="27">
        <f>IF(Table138[[#This Row],[Incl T2 TvsRT]]="Y",(Table138[[#This Row],[T1 Test]]+Table138[[#This Row],[T1 ReTest]])/2,"")</f>
        <v>7.5913488862000005</v>
      </c>
      <c r="J5" s="27">
        <f>IF(Table138[[#This Row],[Incl T2 TvsRT]]="Y",(Table138[[#This Row],[T1 ReTest]]-Table138[[#This Row],[T1 Test]]),"")</f>
        <v>0.44032621439999975</v>
      </c>
      <c r="K5" s="27">
        <f>IF(Table138[[#This Row],[Incl T2 TvsRT]]="Y",(Table138[[#This Row],[Diff T2 TvsRT]]^2)/2,"")</f>
        <v>9.694358754391727E-2</v>
      </c>
      <c r="L5" s="27">
        <f>IF(Table138[[#This Row],[Incl T2 TvsRT]]="Y",Table138[[#This Row],[V T2 TvsRT]]/(Table138[[#This Row],[Ave T2 TvsRT]]^2),"")</f>
        <v>1.6822137740746489E-3</v>
      </c>
    </row>
    <row r="6" spans="5:13" ht="19.5" customHeight="1" x14ac:dyDescent="0.4">
      <c r="E6" s="13" t="s">
        <v>29</v>
      </c>
      <c r="F6" s="27">
        <v>7.5468106269800002</v>
      </c>
      <c r="G6" s="27">
        <v>7.2593674659699996</v>
      </c>
      <c r="H6" s="15" t="s">
        <v>1</v>
      </c>
      <c r="I6" s="27">
        <f>IF(Table138[[#This Row],[Incl T2 TvsRT]]="Y",(Table138[[#This Row],[T1 Test]]+Table138[[#This Row],[T1 ReTest]])/2,"")</f>
        <v>7.4030890464749994</v>
      </c>
      <c r="J6" s="27">
        <f>IF(Table138[[#This Row],[Incl T2 TvsRT]]="Y",(Table138[[#This Row],[T1 ReTest]]-Table138[[#This Row],[T1 Test]]),"")</f>
        <v>-0.28744316101000056</v>
      </c>
      <c r="K6" s="27">
        <f>IF(Table138[[#This Row],[Incl T2 TvsRT]]="Y",(Table138[[#This Row],[Diff T2 TvsRT]]^2)/2,"")</f>
        <v>4.1311785405710552E-2</v>
      </c>
      <c r="L6" s="27">
        <f>IF(Table138[[#This Row],[Incl T2 TvsRT]]="Y",Table138[[#This Row],[V T2 TvsRT]]/(Table138[[#This Row],[Ave T2 TvsRT]]^2),"")</f>
        <v>7.5378591513901229E-4</v>
      </c>
    </row>
    <row r="7" spans="5:13" ht="17.25" customHeight="1" x14ac:dyDescent="0.4">
      <c r="E7" s="13" t="s">
        <v>29</v>
      </c>
      <c r="F7" s="27">
        <v>7.4286746978</v>
      </c>
      <c r="G7" s="27">
        <v>7.6125125884999996</v>
      </c>
      <c r="H7" s="15" t="s">
        <v>1</v>
      </c>
      <c r="I7" s="27">
        <f>IF(Table138[[#This Row],[Incl T2 TvsRT]]="Y",(Table138[[#This Row],[T1 Test]]+Table138[[#This Row],[T1 ReTest]])/2,"")</f>
        <v>7.5205936431499998</v>
      </c>
      <c r="J7" s="27">
        <f>IF(Table138[[#This Row],[Incl T2 TvsRT]]="Y",(Table138[[#This Row],[T1 ReTest]]-Table138[[#This Row],[T1 Test]]),"")</f>
        <v>0.18383789069999956</v>
      </c>
      <c r="K7" s="27">
        <f>IF(Table138[[#This Row],[Incl T2 TvsRT]]="Y",(Table138[[#This Row],[Diff T2 TvsRT]]^2)/2,"")</f>
        <v>1.6898185028512494E-2</v>
      </c>
      <c r="L7" s="27">
        <f>IF(Table138[[#This Row],[Incl T2 TvsRT]]="Y",Table138[[#This Row],[V T2 TvsRT]]/(Table138[[#This Row],[Ave T2 TvsRT]]^2),"")</f>
        <v>2.9876919340013141E-4</v>
      </c>
    </row>
    <row r="8" spans="5:13" ht="18" customHeight="1" x14ac:dyDescent="0.4">
      <c r="E8" s="13" t="s">
        <v>29</v>
      </c>
      <c r="F8" s="27">
        <v>7.8020358085600003</v>
      </c>
      <c r="G8" s="27">
        <v>7.7496008872979996</v>
      </c>
      <c r="H8" s="15" t="s">
        <v>1</v>
      </c>
      <c r="I8" s="27">
        <f>IF(Table138[[#This Row],[Incl T2 TvsRT]]="Y",(Table138[[#This Row],[T1 Test]]+Table138[[#This Row],[T1 ReTest]])/2,"")</f>
        <v>7.7758183479290004</v>
      </c>
      <c r="J8" s="27">
        <f>IF(Table138[[#This Row],[Incl T2 TvsRT]]="Y",(Table138[[#This Row],[T1 ReTest]]-Table138[[#This Row],[T1 Test]]),"")</f>
        <v>-5.2434921262000778E-2</v>
      </c>
      <c r="K8" s="27">
        <f>IF(Table138[[#This Row],[Incl T2 TvsRT]]="Y",(Table138[[#This Row],[Diff T2 TvsRT]]^2)/2,"")</f>
        <v>1.3747104838761105E-3</v>
      </c>
      <c r="L8" s="27">
        <f>IF(Table138[[#This Row],[Incl T2 TvsRT]]="Y",Table138[[#This Row],[V T2 TvsRT]]/(Table138[[#This Row],[Ave T2 TvsRT]]^2),"")</f>
        <v>2.2736260256747584E-5</v>
      </c>
    </row>
    <row r="9" spans="5:13" ht="15" customHeight="1" x14ac:dyDescent="0.45">
      <c r="E9" s="13" t="s">
        <v>28</v>
      </c>
      <c r="F9" s="43">
        <v>7.1033267974000003</v>
      </c>
      <c r="G9" s="43">
        <v>7.2997994422000003</v>
      </c>
      <c r="H9" s="15" t="s">
        <v>1</v>
      </c>
      <c r="I9" s="27">
        <f>IF(Table138[[#This Row],[Incl T2 TvsRT]]="Y",(Table138[[#This Row],[T1 Test]]+Table138[[#This Row],[T1 ReTest]])/2,"")</f>
        <v>7.2015631198000003</v>
      </c>
      <c r="J9" s="27">
        <f>IF(Table138[[#This Row],[Incl T2 TvsRT]]="Y",(Table138[[#This Row],[T1 ReTest]]-Table138[[#This Row],[T1 Test]]),"")</f>
        <v>0.19647264480000004</v>
      </c>
      <c r="K9" s="27">
        <f>IF(Table138[[#This Row],[Incl T2 TvsRT]]="Y",(Table138[[#This Row],[Diff T2 TvsRT]]^2)/2,"")</f>
        <v>1.930075007735349E-2</v>
      </c>
      <c r="L9" s="27">
        <f>IF(Table138[[#This Row],[Incl T2 TvsRT]]="Y",Table138[[#This Row],[V T2 TvsRT]]/(Table138[[#This Row],[Ave T2 TvsRT]]^2),"")</f>
        <v>3.7215224577593178E-4</v>
      </c>
    </row>
    <row r="10" spans="5:13" ht="17.25" customHeight="1" x14ac:dyDescent="0.4">
      <c r="E10" s="13" t="s">
        <v>28</v>
      </c>
      <c r="F10" s="27">
        <v>7.9460725784299999</v>
      </c>
      <c r="G10" s="27">
        <v>7.9441781043999997</v>
      </c>
      <c r="H10" s="15" t="s">
        <v>1</v>
      </c>
      <c r="I10" s="27">
        <f>IF(Table138[[#This Row],[Incl T2 TvsRT]]="Y",(Table138[[#This Row],[T1 Test]]+Table138[[#This Row],[T1 ReTest]])/2,"")</f>
        <v>7.9451253414150003</v>
      </c>
      <c r="J10" s="27">
        <f>IF(Table138[[#This Row],[Incl T2 TvsRT]]="Y",(Table138[[#This Row],[T1 ReTest]]-Table138[[#This Row],[T1 Test]]),"")</f>
        <v>-1.8944740300002039E-3</v>
      </c>
      <c r="K10" s="27">
        <f>IF(Table138[[#This Row],[Incl T2 TvsRT]]="Y",(Table138[[#This Row],[Diff T2 TvsRT]]^2)/2,"")</f>
        <v>1.7945159251726067E-6</v>
      </c>
      <c r="L10" s="27">
        <f>IF(Table138[[#This Row],[Incl T2 TvsRT]]="Y",Table138[[#This Row],[V T2 TvsRT]]/(Table138[[#This Row],[Ave T2 TvsRT]]^2),"")</f>
        <v>2.8427967535639341E-8</v>
      </c>
    </row>
    <row r="11" spans="5:13" ht="18" customHeight="1" x14ac:dyDescent="0.4">
      <c r="E11" s="13" t="s">
        <v>28</v>
      </c>
      <c r="F11" s="27">
        <v>9.3744459152200008</v>
      </c>
      <c r="G11" s="27">
        <v>9.5355405807399993</v>
      </c>
      <c r="H11" s="15" t="s">
        <v>1</v>
      </c>
      <c r="I11" s="27">
        <f>IF(Table138[[#This Row],[Incl T2 TvsRT]]="Y",(Table138[[#This Row],[T1 Test]]+Table138[[#This Row],[T1 ReTest]])/2,"")</f>
        <v>9.4549932479799992</v>
      </c>
      <c r="J11" s="27">
        <f>IF(Table138[[#This Row],[Incl T2 TvsRT]]="Y",(Table138[[#This Row],[T1 ReTest]]-Table138[[#This Row],[T1 Test]]),"")</f>
        <v>0.16109466551999851</v>
      </c>
      <c r="K11" s="27">
        <f>IF(Table138[[#This Row],[Incl T2 TvsRT]]="Y",(Table138[[#This Row],[Diff T2 TvsRT]]^2)/2,"")</f>
        <v>1.29757456295001E-2</v>
      </c>
      <c r="L11" s="27">
        <f>IF(Table138[[#This Row],[Incl T2 TvsRT]]="Y",Table138[[#This Row],[V T2 TvsRT]]/(Table138[[#This Row],[Ave T2 TvsRT]]^2),"")</f>
        <v>1.4514760599741613E-4</v>
      </c>
    </row>
    <row r="12" spans="5:13" ht="16.5" customHeight="1" x14ac:dyDescent="0.4">
      <c r="E12" s="13" t="s">
        <v>28</v>
      </c>
      <c r="F12" s="27">
        <v>9.5696544647199993</v>
      </c>
      <c r="G12" s="27">
        <v>9.7932920455900003</v>
      </c>
      <c r="H12" s="15" t="s">
        <v>1</v>
      </c>
      <c r="I12" s="27">
        <f>IF(Table138[[#This Row],[Incl T2 TvsRT]]="Y",(Table138[[#This Row],[T1 Test]]+Table138[[#This Row],[T1 ReTest]])/2,"")</f>
        <v>9.6814732551549998</v>
      </c>
      <c r="J12" s="27">
        <f>IF(Table138[[#This Row],[Incl T2 TvsRT]]="Y",(Table138[[#This Row],[T1 ReTest]]-Table138[[#This Row],[T1 Test]]),"")</f>
        <v>0.22363758087000107</v>
      </c>
      <c r="K12" s="27">
        <f>IF(Table138[[#This Row],[Incl T2 TvsRT]]="Y",(Table138[[#This Row],[Diff T2 TvsRT]]^2)/2,"")</f>
        <v>2.5006883788693136E-2</v>
      </c>
      <c r="L12" s="27">
        <f>IF(Table138[[#This Row],[Incl T2 TvsRT]]="Y",Table138[[#This Row],[V T2 TvsRT]]/(Table138[[#This Row],[Ave T2 TvsRT]]^2),"")</f>
        <v>2.6679437924423123E-4</v>
      </c>
    </row>
    <row r="13" spans="5:13" ht="17.25" customHeight="1" x14ac:dyDescent="0.4">
      <c r="E13" s="13" t="s">
        <v>28</v>
      </c>
      <c r="F13" s="27">
        <v>9.8697328567503995</v>
      </c>
      <c r="G13" s="27">
        <v>9.8665742874099998</v>
      </c>
      <c r="H13" s="15" t="s">
        <v>1</v>
      </c>
      <c r="I13" s="27">
        <f>IF(Table138[[#This Row],[Incl T2 TvsRT]]="Y",(Table138[[#This Row],[T1 Test]]+Table138[[#This Row],[T1 ReTest]])/2,"")</f>
        <v>9.8681535720801996</v>
      </c>
      <c r="J13" s="27">
        <f>IF(Table138[[#This Row],[Incl T2 TvsRT]]="Y",(Table138[[#This Row],[T1 ReTest]]-Table138[[#This Row],[T1 Test]]),"")</f>
        <v>-3.1585693403997084E-3</v>
      </c>
      <c r="K13" s="27">
        <f>IF(Table138[[#This Row],[Incl T2 TvsRT]]="Y",(Table138[[#This Row],[Diff T2 TvsRT]]^2)/2,"")</f>
        <v>4.9882801390565244E-6</v>
      </c>
      <c r="L13" s="27">
        <f>IF(Table138[[#This Row],[Incl T2 TvsRT]]="Y",Table138[[#This Row],[V T2 TvsRT]]/(Table138[[#This Row],[Ave T2 TvsRT]]^2),"")</f>
        <v>5.1224654300946656E-8</v>
      </c>
    </row>
    <row r="14" spans="5:13" x14ac:dyDescent="0.4">
      <c r="E14" s="13" t="s">
        <v>30</v>
      </c>
      <c r="F14" s="27">
        <v>7.9707112312310002</v>
      </c>
      <c r="G14" s="27">
        <v>8.3112211226999992</v>
      </c>
      <c r="H14" s="15" t="s">
        <v>1</v>
      </c>
      <c r="I14" s="27">
        <f>IF(Table138[[#This Row],[Incl T2 TvsRT]]="Y",(Table138[[#This Row],[T1 Test]]+Table138[[#This Row],[T1 ReTest]])/2,"")</f>
        <v>8.1409661769654988</v>
      </c>
      <c r="J14" s="27">
        <f>IF(Table138[[#This Row],[Incl T2 TvsRT]]="Y",(Table138[[#This Row],[T1 ReTest]]-Table138[[#This Row],[T1 Test]]),"")</f>
        <v>0.34050989146899902</v>
      </c>
      <c r="K14" s="27">
        <f>IF(Table138[[#This Row],[Incl T2 TvsRT]]="Y",(Table138[[#This Row],[Diff T2 TvsRT]]^2)/2,"")</f>
        <v>5.7973493094114745E-2</v>
      </c>
      <c r="L14" s="27">
        <f>IF(Table138[[#This Row],[Incl T2 TvsRT]]="Y",Table138[[#This Row],[V T2 TvsRT]]/(Table138[[#This Row],[Ave T2 TvsRT]]^2),"")</f>
        <v>8.747371433157397E-4</v>
      </c>
    </row>
    <row r="15" spans="5:13" ht="15.9" x14ac:dyDescent="0.45">
      <c r="E15" s="13" t="s">
        <v>31</v>
      </c>
      <c r="F15" s="27">
        <v>6.9327559471129998</v>
      </c>
      <c r="G15" s="43">
        <v>6.9112772941580003</v>
      </c>
      <c r="H15" s="15" t="s">
        <v>1</v>
      </c>
      <c r="I15" s="27">
        <f>IF(Table138[[#This Row],[Incl T2 TvsRT]]="Y",(Table138[[#This Row],[T1 Test]]+Table138[[#This Row],[T1 ReTest]])/2,"")</f>
        <v>6.9220166206354996</v>
      </c>
      <c r="J15" s="27">
        <f>IF(Table138[[#This Row],[Incl T2 TvsRT]]="Y",(Table138[[#This Row],[T1 ReTest]]-Table138[[#This Row],[T1 Test]]),"")</f>
        <v>-2.1478652954999511E-2</v>
      </c>
      <c r="K15" s="27">
        <f>IF(Table138[[#This Row],[Incl T2 TvsRT]]="Y",(Table138[[#This Row],[Diff T2 TvsRT]]^2)/2,"")</f>
        <v>2.306662663806546E-4</v>
      </c>
      <c r="L15" s="27">
        <f>IF(Table138[[#This Row],[Incl T2 TvsRT]]="Y",Table138[[#This Row],[V T2 TvsRT]]/(Table138[[#This Row],[Ave T2 TvsRT]]^2),"")</f>
        <v>4.8141410501419753E-6</v>
      </c>
    </row>
    <row r="16" spans="5:13" x14ac:dyDescent="0.4">
      <c r="E16" s="13" t="s">
        <v>32</v>
      </c>
      <c r="F16" s="27">
        <v>5.5757703781099996</v>
      </c>
      <c r="G16" s="27">
        <v>5.7532906532199997</v>
      </c>
      <c r="H16" s="15" t="s">
        <v>1</v>
      </c>
      <c r="I16" s="27">
        <f>IF(Table138[[#This Row],[Incl T2 TvsRT]]="Y",(Table138[[#This Row],[T1 Test]]+Table138[[#This Row],[T1 ReTest]])/2,"")</f>
        <v>5.6645305156649997</v>
      </c>
      <c r="J16" s="27">
        <f>IF(Table138[[#This Row],[Incl T2 TvsRT]]="Y",(Table138[[#This Row],[T1 ReTest]]-Table138[[#This Row],[T1 Test]]),"")</f>
        <v>0.17752027511000001</v>
      </c>
      <c r="K16" s="27">
        <f>IF(Table138[[#This Row],[Incl T2 TvsRT]]="Y",(Table138[[#This Row],[Diff T2 TvsRT]]^2)/2,"")</f>
        <v>1.5756724037565045E-2</v>
      </c>
      <c r="L16" s="27">
        <f>IF(Table138[[#This Row],[Incl T2 TvsRT]]="Y",Table138[[#This Row],[V T2 TvsRT]]/(Table138[[#This Row],[Ave T2 TvsRT]]^2),"")</f>
        <v>4.9106398902354516E-4</v>
      </c>
    </row>
    <row r="17" spans="5:12" x14ac:dyDescent="0.4">
      <c r="E17" s="13" t="s">
        <v>33</v>
      </c>
      <c r="F17" s="27">
        <v>5.3843517303399997</v>
      </c>
      <c r="G17" s="27">
        <v>4.7254428863525</v>
      </c>
      <c r="H17" s="15" t="s">
        <v>1</v>
      </c>
      <c r="I17" s="27">
        <f>IF(Table138[[#This Row],[Incl T2 TvsRT]]="Y",(Table138[[#This Row],[T1 Test]]+Table138[[#This Row],[T1 ReTest]])/2,"")</f>
        <v>5.0548973083462503</v>
      </c>
      <c r="J17" s="27">
        <f>IF(Table138[[#This Row],[Incl T2 TvsRT]]="Y",(Table138[[#This Row],[T1 ReTest]]-Table138[[#This Row],[T1 Test]]),"")</f>
        <v>-0.65890884398749971</v>
      </c>
      <c r="K17" s="27">
        <f>IF(Table138[[#This Row],[Incl T2 TvsRT]]="Y",(Table138[[#This Row],[Diff T2 TvsRT]]^2)/2,"")</f>
        <v>0.21708043234247162</v>
      </c>
      <c r="L17" s="27">
        <f>IF(Table138[[#This Row],[Incl T2 TvsRT]]="Y",Table138[[#This Row],[V T2 TvsRT]]/(Table138[[#This Row],[Ave T2 TvsRT]]^2),"")</f>
        <v>8.4956380910501325E-3</v>
      </c>
    </row>
    <row r="19" spans="5:12" ht="15" thickBot="1" x14ac:dyDescent="0.45"/>
    <row r="20" spans="5:12" x14ac:dyDescent="0.4">
      <c r="F20" s="19" t="s">
        <v>7</v>
      </c>
      <c r="G20" s="20"/>
      <c r="H20" s="21"/>
      <c r="I20" s="21" t="s">
        <v>18</v>
      </c>
      <c r="J20" s="20" t="s">
        <v>19</v>
      </c>
      <c r="K20" s="20"/>
      <c r="L20" s="22"/>
    </row>
    <row r="21" spans="5:12" x14ac:dyDescent="0.4">
      <c r="F21" s="23" t="s">
        <v>8</v>
      </c>
      <c r="G21" s="13">
        <f>COUNT(I5:I17)</f>
        <v>13</v>
      </c>
      <c r="H21" s="24"/>
      <c r="I21" s="15" t="s">
        <v>20</v>
      </c>
      <c r="J21" s="15" t="s">
        <v>21</v>
      </c>
      <c r="L21" s="25"/>
    </row>
    <row r="22" spans="5:12" x14ac:dyDescent="0.4">
      <c r="F22" s="23" t="s">
        <v>9</v>
      </c>
      <c r="G22" s="27">
        <f>AVERAGE(L5:L17)</f>
        <v>1.0313794146884245E-3</v>
      </c>
      <c r="H22" s="24" t="s">
        <v>15</v>
      </c>
      <c r="I22" s="27">
        <f>(G21-1)/_xlfn.CHISQ.INV(0.975,G21-1)</f>
        <v>0.51421231065513962</v>
      </c>
      <c r="J22" s="27">
        <f>(G21-1)/_xlfn.CHISQ.INV(0.025,G21-1)</f>
        <v>2.7249264993029021</v>
      </c>
      <c r="L22" s="25"/>
    </row>
    <row r="23" spans="5:12" x14ac:dyDescent="0.4">
      <c r="F23" s="23" t="s">
        <v>10</v>
      </c>
      <c r="G23" s="27">
        <f>100*SQRT(G22)</f>
        <v>3.2115096367416127</v>
      </c>
      <c r="H23" s="24" t="s">
        <v>16</v>
      </c>
      <c r="I23" s="27">
        <f>G23*SQRT(I$22)</f>
        <v>2.3029285529279457</v>
      </c>
      <c r="J23" s="27">
        <f>G23*SQRT(J$22)</f>
        <v>5.3013518067753296</v>
      </c>
      <c r="K23" s="13" t="s">
        <v>22</v>
      </c>
      <c r="L23" s="25"/>
    </row>
    <row r="24" spans="5:12" x14ac:dyDescent="0.4">
      <c r="F24" s="23" t="s">
        <v>11</v>
      </c>
      <c r="G24" s="27">
        <f>AVERAGE(K5:K17)</f>
        <v>3.8835365114935343E-2</v>
      </c>
      <c r="H24" s="24" t="s">
        <v>44</v>
      </c>
      <c r="L24" s="25"/>
    </row>
    <row r="25" spans="5:12" x14ac:dyDescent="0.4">
      <c r="F25" s="23" t="s">
        <v>17</v>
      </c>
      <c r="G25" s="27">
        <f>SQRT(G24)</f>
        <v>0.19706690517419545</v>
      </c>
      <c r="H25" s="24" t="s">
        <v>44</v>
      </c>
      <c r="I25" s="13">
        <f>G25*SQRT(I$22)</f>
        <v>0.14131391591378006</v>
      </c>
      <c r="J25" s="13">
        <f>G25*SQRT(J$22)</f>
        <v>0.32530526511538482</v>
      </c>
      <c r="K25" s="13" t="s">
        <v>45</v>
      </c>
      <c r="L25" s="25"/>
    </row>
    <row r="26" spans="5:12" x14ac:dyDescent="0.4">
      <c r="F26" s="23" t="s">
        <v>12</v>
      </c>
      <c r="G26" s="27">
        <f>1.96 * SQRT(2*G24)</f>
        <v>0.54624159238479009</v>
      </c>
      <c r="H26" s="24" t="s">
        <v>44</v>
      </c>
      <c r="I26" s="13">
        <f>G26*SQRT(I$22)</f>
        <v>0.39170219061714501</v>
      </c>
      <c r="J26" s="13">
        <f>G26*SQRT(J$22)</f>
        <v>0.90170019096160281</v>
      </c>
      <c r="K26" s="13" t="s">
        <v>46</v>
      </c>
      <c r="L26" s="25"/>
    </row>
    <row r="27" spans="5:12" x14ac:dyDescent="0.4">
      <c r="F27" s="23" t="s">
        <v>13</v>
      </c>
      <c r="G27" s="27">
        <f>AVERAGE(I5:I17)</f>
        <v>7.7095822370612659</v>
      </c>
      <c r="H27" s="24" t="s">
        <v>44</v>
      </c>
      <c r="L27" s="25"/>
    </row>
    <row r="28" spans="5:12" x14ac:dyDescent="0.4">
      <c r="F28" s="23" t="s">
        <v>14</v>
      </c>
      <c r="G28" s="27">
        <f>AVERAGE(J5:J17)</f>
        <v>5.3698503098776731E-2</v>
      </c>
      <c r="H28" s="24" t="s">
        <v>44</v>
      </c>
      <c r="L28" s="25"/>
    </row>
    <row r="29" spans="5:12" ht="15" thickBot="1" x14ac:dyDescent="0.45">
      <c r="F29" s="28" t="s">
        <v>23</v>
      </c>
      <c r="G29" s="29" t="s">
        <v>23</v>
      </c>
      <c r="H29" s="30"/>
      <c r="I29" s="31"/>
      <c r="J29" s="31"/>
      <c r="K29" s="31"/>
      <c r="L29" s="32"/>
    </row>
    <row r="30" spans="5:12" x14ac:dyDescent="0.4">
      <c r="H30" s="15"/>
    </row>
    <row r="31" spans="5:12" x14ac:dyDescent="0.4">
      <c r="H31" s="15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8 V a Q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D x V p B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V a Q V S i K R 7 g O A A A A E Q A A A B M A H A B G b 3 J t d W x h c y 9 T Z W N 0 a W 9 u M S 5 t I K I Y A C i g F A A A A A A A A A A A A A A A A A A A A A A A A A A A A C t O T S 7 J z M 9 T C I b Q h t Y A U E s B A i 0 A F A A C A A g A 8 V a Q V U j 6 C m 2 j A A A A 9 g A A A B I A A A A A A A A A A A A A A A A A A A A A A E N v b m Z p Z y 9 Q Y W N r Y W d l L n h t b F B L A Q I t A B Q A A g A I A P F W k F U P y u m r p A A A A O k A A A A T A A A A A A A A A A A A A A A A A O 8 A A A B b Q 2 9 u d G V u d F 9 U e X B l c 1 0 u e G 1 s U E s B A i 0 A F A A C A A g A 8 V a Q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A Z t g C 5 S X g 1 L i O q w u S 3 i f H I A A A A A A g A A A A A A A 2 Y A A M A A A A A Q A A A A R r B R y e r q I 6 E z 8 T r m r O A p z Q A A A A A E g A A A o A A A A B A A A A C l W h V a e y Z w Q 9 X 3 O 0 i 6 M 1 Y X U A A A A K w W W 3 F b o l C Y a B i R I a N 6 2 8 U I G r a N t v i D + v i r 0 f 2 e s g o x v j t b v P k C z j u W b 8 d V S + F K F 7 L U / C 8 q o j w B L I m d k + w Q 2 8 i M 5 P + U w v m w I 5 v R w A s O O 1 X H F A A A A G a / + 4 q y i R A p r V b f + x R R w k b W 9 r u x < / D a t a M a s h u p > 
</file>

<file path=customXml/itemProps1.xml><?xml version="1.0" encoding="utf-8"?>
<ds:datastoreItem xmlns:ds="http://schemas.openxmlformats.org/officeDocument/2006/customXml" ds:itemID="{49AACCE1-0723-47E3-AEC6-C05C46A32B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Full_Training_UNET_EA1</vt:lpstr>
      <vt:lpstr>Full_Validation_all</vt:lpstr>
      <vt:lpstr>Full_Testing_all</vt:lpstr>
      <vt:lpstr>Split1_Train_Unet_EA1</vt:lpstr>
      <vt:lpstr>Split1_Validation_all</vt:lpstr>
      <vt:lpstr>Spli1_Test</vt:lpstr>
      <vt:lpstr>Split2_Train_UNET_EA1</vt:lpstr>
      <vt:lpstr>Split_2_Validation</vt:lpstr>
      <vt:lpstr>Split_2_Test </vt:lpstr>
      <vt:lpstr>Table16</vt:lpstr>
      <vt:lpstr>C1F3_Train_UNET_EA1</vt:lpstr>
      <vt:lpstr>C1F3_Valid</vt:lpstr>
      <vt:lpstr>C1F3_Test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tlchenev</dc:creator>
  <cp:lastModifiedBy>Malyarenko, Dariya</cp:lastModifiedBy>
  <dcterms:created xsi:type="dcterms:W3CDTF">2022-02-04T17:38:30Z</dcterms:created>
  <dcterms:modified xsi:type="dcterms:W3CDTF">2023-04-12T18:00:36Z</dcterms:modified>
</cp:coreProperties>
</file>