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516" windowWidth="28812" windowHeight="6336"/>
  </bookViews>
  <sheets>
    <sheet name="BK" sheetId="3" r:id="rId1"/>
  </sheets>
  <definedNames>
    <definedName name="_xlnm._FilterDatabase" localSheetId="0" hidden="1">BK!$A$3:$S$968</definedName>
    <definedName name="_xlnm.Print_Area" localSheetId="0">BK!$A$1:$R$966</definedName>
    <definedName name="_xlnm.Print_Titles" localSheetId="0">BK!$1:$3</definedName>
  </definedNames>
  <calcPr calcId="145620"/>
</workbook>
</file>

<file path=xl/calcChain.xml><?xml version="1.0" encoding="utf-8"?>
<calcChain xmlns="http://schemas.openxmlformats.org/spreadsheetml/2006/main">
  <c r="R357" i="3" l="1"/>
  <c r="P357" i="3"/>
  <c r="L357" i="3"/>
  <c r="H357" i="3"/>
  <c r="J956" i="3"/>
  <c r="H956" i="3"/>
  <c r="R68" i="3" l="1"/>
  <c r="N687" i="3"/>
  <c r="N686" i="3"/>
  <c r="R865" i="3" l="1"/>
  <c r="R867" i="3" s="1"/>
  <c r="N865" i="3"/>
  <c r="L774" i="3"/>
  <c r="H774" i="3"/>
  <c r="N774" i="3"/>
  <c r="R956" i="3"/>
  <c r="N956" i="3"/>
  <c r="L954" i="3"/>
  <c r="P947" i="3"/>
  <c r="P956" i="3" s="1"/>
  <c r="P926" i="3"/>
  <c r="R923" i="3"/>
  <c r="P923" i="3"/>
  <c r="N923" i="3"/>
  <c r="H925" i="3"/>
  <c r="L925" i="3"/>
  <c r="N922" i="3"/>
  <c r="R921" i="3"/>
  <c r="H921" i="3"/>
  <c r="P920" i="3"/>
  <c r="J915" i="3"/>
  <c r="R890" i="3"/>
  <c r="N890" i="3"/>
  <c r="P905" i="3"/>
  <c r="L905" i="3"/>
  <c r="J865" i="3"/>
  <c r="J867" i="3" s="1"/>
  <c r="H865" i="3"/>
  <c r="P894" i="3"/>
  <c r="J885" i="3"/>
  <c r="R875" i="3"/>
  <c r="H857" i="3"/>
  <c r="R844" i="3"/>
  <c r="N828" i="3"/>
  <c r="P825" i="3"/>
  <c r="H830" i="3"/>
  <c r="P867" i="3"/>
  <c r="N867" i="3"/>
  <c r="L867" i="3"/>
  <c r="H867" i="3"/>
  <c r="N804" i="3"/>
  <c r="L809" i="3"/>
  <c r="L805" i="3"/>
  <c r="P797" i="3"/>
  <c r="P774" i="3"/>
  <c r="J774" i="3"/>
  <c r="R769" i="3"/>
  <c r="P754" i="3"/>
  <c r="L749" i="3"/>
  <c r="P740" i="3"/>
  <c r="N740" i="3"/>
  <c r="P739" i="3"/>
  <c r="P721" i="3"/>
  <c r="N721" i="3"/>
  <c r="J721" i="3"/>
  <c r="H721" i="3"/>
  <c r="N728" i="3"/>
  <c r="H722" i="3"/>
  <c r="L720" i="3"/>
  <c r="P719" i="3"/>
  <c r="P718" i="3"/>
  <c r="P717" i="3"/>
  <c r="H716" i="3"/>
  <c r="J714" i="3"/>
  <c r="P705" i="3"/>
  <c r="P686" i="3"/>
  <c r="R686" i="3"/>
  <c r="J687" i="3"/>
  <c r="H687" i="3"/>
  <c r="H670" i="3"/>
  <c r="N681" i="3"/>
  <c r="J681" i="3"/>
  <c r="N680" i="3"/>
  <c r="J671" i="3"/>
  <c r="N667" i="3"/>
  <c r="N666" i="3"/>
  <c r="R665" i="3"/>
  <c r="P664" i="3"/>
  <c r="P665" i="3"/>
  <c r="N665" i="3"/>
  <c r="L665" i="3"/>
  <c r="J665" i="3"/>
  <c r="H665" i="3"/>
  <c r="N649" i="3"/>
  <c r="L649" i="3"/>
  <c r="J649" i="3"/>
  <c r="N645" i="3"/>
  <c r="N644" i="3"/>
  <c r="P644" i="3"/>
  <c r="N637" i="3"/>
  <c r="P619" i="3"/>
  <c r="N619" i="3"/>
  <c r="N610" i="3"/>
  <c r="L619" i="3"/>
  <c r="J619" i="3"/>
  <c r="H619" i="3" l="1"/>
  <c r="H610" i="3"/>
  <c r="L606" i="3"/>
  <c r="N602" i="3"/>
  <c r="J601" i="3"/>
  <c r="N599" i="3"/>
  <c r="L598" i="3" l="1"/>
  <c r="L594" i="3"/>
  <c r="N591" i="3"/>
  <c r="H589" i="3"/>
  <c r="N585" i="3"/>
  <c r="J583" i="3"/>
  <c r="L576" i="3"/>
  <c r="P575" i="3"/>
  <c r="N572" i="3"/>
  <c r="P571" i="3"/>
  <c r="L570" i="3"/>
  <c r="H567" i="3"/>
  <c r="P566" i="3"/>
  <c r="R563" i="3"/>
  <c r="P561" i="3"/>
  <c r="N560" i="3"/>
  <c r="R558" i="3"/>
  <c r="J558" i="3"/>
  <c r="N552" i="3"/>
  <c r="J550" i="3"/>
  <c r="P542" i="3"/>
  <c r="N536" i="3"/>
  <c r="J534" i="3"/>
  <c r="N528" i="3" l="1"/>
  <c r="L528" i="3"/>
  <c r="J528" i="3"/>
  <c r="J527" i="3"/>
  <c r="N523" i="3"/>
  <c r="N516" i="3"/>
  <c r="H514" i="3"/>
  <c r="J506" i="3"/>
  <c r="J497" i="3"/>
  <c r="P487" i="3"/>
  <c r="P483" i="3"/>
  <c r="J472" i="3"/>
  <c r="P464" i="3"/>
  <c r="P463" i="3"/>
  <c r="P462" i="3"/>
  <c r="N461" i="3"/>
  <c r="N459" i="3"/>
  <c r="N458" i="3"/>
  <c r="J465" i="3"/>
  <c r="L465" i="3"/>
  <c r="H464" i="3"/>
  <c r="P453" i="3"/>
  <c r="P448" i="3"/>
  <c r="N445" i="3"/>
  <c r="J438" i="3"/>
  <c r="N436" i="3"/>
  <c r="H421" i="3"/>
  <c r="L421" i="3"/>
  <c r="N421" i="3"/>
  <c r="N414" i="3"/>
  <c r="L402" i="3"/>
  <c r="P391" i="3"/>
  <c r="P387" i="3"/>
  <c r="N387" i="3"/>
  <c r="N386" i="3"/>
  <c r="P381" i="3"/>
  <c r="H366" i="3"/>
  <c r="J366" i="3"/>
  <c r="N374" i="3"/>
  <c r="H370" i="3"/>
  <c r="N369" i="3"/>
  <c r="N364" i="3"/>
  <c r="P362" i="3"/>
  <c r="J354" i="3"/>
  <c r="J357" i="3" s="1"/>
  <c r="F357" i="3" s="1"/>
  <c r="N352" i="3"/>
  <c r="N357" i="3" s="1"/>
  <c r="P339" i="3"/>
  <c r="N339" i="3"/>
  <c r="N331" i="3"/>
  <c r="J331" i="3"/>
  <c r="L339" i="3"/>
  <c r="N329" i="3"/>
  <c r="L320" i="3" l="1"/>
  <c r="P317" i="3"/>
  <c r="P310" i="3"/>
  <c r="N310" i="3"/>
  <c r="J303" i="3"/>
  <c r="H303" i="3"/>
  <c r="L311" i="3"/>
  <c r="J305" i="3"/>
  <c r="J304" i="3"/>
  <c r="L299" i="3"/>
  <c r="N294" i="3"/>
  <c r="H289" i="3"/>
  <c r="J288" i="3"/>
  <c r="H284" i="3"/>
  <c r="H279" i="3"/>
  <c r="H272" i="3"/>
  <c r="L271" i="3"/>
  <c r="H270" i="3"/>
  <c r="H269" i="3"/>
  <c r="H259" i="3" l="1"/>
  <c r="L259" i="3"/>
  <c r="L262" i="3"/>
  <c r="H262" i="3"/>
  <c r="J262" i="3"/>
  <c r="N260" i="3"/>
  <c r="H258" i="3"/>
  <c r="J257" i="3"/>
  <c r="P256" i="3"/>
  <c r="L256" i="3"/>
  <c r="L255" i="3"/>
  <c r="L254" i="3"/>
  <c r="H251" i="3"/>
  <c r="J246" i="3"/>
  <c r="P241" i="3"/>
  <c r="P239" i="3"/>
  <c r="J235" i="3"/>
  <c r="H232" i="3"/>
  <c r="P227" i="3"/>
  <c r="J224" i="3"/>
  <c r="N222" i="3"/>
  <c r="H219" i="3"/>
  <c r="P217" i="3"/>
  <c r="H214" i="3"/>
  <c r="J213" i="3"/>
  <c r="P208" i="3"/>
  <c r="N203" i="3"/>
  <c r="N198" i="3"/>
  <c r="H198" i="3"/>
  <c r="P197" i="3"/>
  <c r="J197" i="3"/>
  <c r="P196" i="3"/>
  <c r="P183" i="3"/>
  <c r="H183" i="3"/>
  <c r="P187" i="3"/>
  <c r="P181" i="3"/>
  <c r="P174" i="3"/>
  <c r="P170" i="3"/>
  <c r="H168" i="3"/>
  <c r="H153" i="3"/>
  <c r="J153" i="3"/>
  <c r="J156" i="3"/>
  <c r="R131" i="3"/>
  <c r="L131" i="3"/>
  <c r="P131" i="3"/>
  <c r="R132" i="3"/>
  <c r="H132" i="3"/>
  <c r="J128" i="3"/>
  <c r="P115" i="3"/>
  <c r="N115" i="3"/>
  <c r="H108" i="3"/>
  <c r="P105" i="3"/>
  <c r="J99" i="3"/>
  <c r="L99" i="3"/>
  <c r="N95" i="3"/>
  <c r="H92" i="3"/>
  <c r="P76" i="3"/>
  <c r="H74" i="3"/>
  <c r="P64" i="3"/>
  <c r="H64" i="3"/>
  <c r="N63" i="3"/>
  <c r="N56" i="3"/>
  <c r="L56" i="3"/>
  <c r="N55" i="3"/>
  <c r="R47" i="3"/>
  <c r="L45" i="3"/>
  <c r="J45" i="3"/>
  <c r="L20" i="3"/>
  <c r="J20" i="3"/>
  <c r="P24" i="3"/>
  <c r="L24" i="3"/>
  <c r="L25" i="3"/>
  <c r="P20" i="3"/>
  <c r="S966" i="3" l="1"/>
  <c r="S964" i="3"/>
  <c r="S962" i="3"/>
  <c r="S958" i="3"/>
  <c r="S957" i="3"/>
  <c r="S955" i="3"/>
  <c r="S953" i="3"/>
  <c r="S952" i="3"/>
  <c r="S950" i="3"/>
  <c r="S948" i="3"/>
  <c r="S946" i="3"/>
  <c r="S944" i="3"/>
  <c r="S942" i="3"/>
  <c r="S940" i="3"/>
  <c r="S939" i="3"/>
  <c r="S938" i="3"/>
  <c r="S936" i="3"/>
  <c r="S934" i="3"/>
  <c r="S932" i="3"/>
  <c r="S930" i="3"/>
  <c r="S929" i="3"/>
  <c r="S917" i="3"/>
  <c r="S916" i="3"/>
  <c r="S914" i="3"/>
  <c r="S913" i="3"/>
  <c r="S912" i="3"/>
  <c r="S911" i="3"/>
  <c r="S909" i="3"/>
  <c r="S907" i="3"/>
  <c r="S906" i="3"/>
  <c r="S904" i="3"/>
  <c r="S903" i="3"/>
  <c r="S901" i="3"/>
  <c r="S896" i="3"/>
  <c r="S895" i="3"/>
  <c r="S893" i="3"/>
  <c r="S891" i="3"/>
  <c r="S889" i="3"/>
  <c r="S887" i="3"/>
  <c r="S882" i="3"/>
  <c r="S881" i="3"/>
  <c r="S879" i="3"/>
  <c r="S877" i="3"/>
  <c r="S874" i="3"/>
  <c r="S873" i="3"/>
  <c r="S871" i="3"/>
  <c r="S869" i="3"/>
  <c r="S868" i="3"/>
  <c r="S866" i="3"/>
  <c r="S861" i="3"/>
  <c r="S860" i="3"/>
  <c r="S858" i="3"/>
  <c r="S855" i="3"/>
  <c r="S854" i="3"/>
  <c r="S852" i="3"/>
  <c r="S851" i="3"/>
  <c r="S850" i="3"/>
  <c r="S848" i="3"/>
  <c r="S843" i="3"/>
  <c r="S841" i="3"/>
  <c r="S840" i="3"/>
  <c r="S838" i="3"/>
  <c r="S836" i="3"/>
  <c r="S835" i="3"/>
  <c r="S833" i="3"/>
  <c r="S831" i="3"/>
  <c r="S829" i="3"/>
  <c r="S824" i="3"/>
  <c r="S823" i="3"/>
  <c r="S821" i="3"/>
  <c r="S817" i="3"/>
  <c r="S816" i="3"/>
  <c r="S814" i="3"/>
  <c r="S812" i="3"/>
  <c r="S810" i="3"/>
  <c r="S806" i="3"/>
  <c r="S803" i="3"/>
  <c r="S798" i="3"/>
  <c r="S794" i="3"/>
  <c r="S792" i="3"/>
  <c r="S788" i="3"/>
  <c r="S786" i="3"/>
  <c r="S784" i="3"/>
  <c r="S783" i="3"/>
  <c r="S782" i="3"/>
  <c r="S781" i="3"/>
  <c r="S780" i="3"/>
  <c r="S778" i="3"/>
  <c r="S776" i="3"/>
  <c r="S775" i="3"/>
  <c r="S773" i="3"/>
  <c r="S772" i="3"/>
  <c r="S770" i="3"/>
  <c r="S768" i="3"/>
  <c r="S766" i="3"/>
  <c r="S763" i="3"/>
  <c r="S761" i="3"/>
  <c r="S760" i="3"/>
  <c r="S759" i="3"/>
  <c r="S758" i="3"/>
  <c r="S756" i="3"/>
  <c r="S753" i="3"/>
  <c r="S752" i="3"/>
  <c r="S750" i="3"/>
  <c r="S748" i="3"/>
  <c r="S745" i="3"/>
  <c r="S744" i="3"/>
  <c r="S743" i="3"/>
  <c r="S741" i="3"/>
  <c r="S736" i="3"/>
  <c r="S735" i="3"/>
  <c r="S734" i="3"/>
  <c r="S732" i="3"/>
  <c r="S730" i="3"/>
  <c r="S726" i="3"/>
  <c r="S725" i="3"/>
  <c r="S723" i="3"/>
  <c r="S715" i="3"/>
  <c r="S713" i="3"/>
  <c r="S712" i="3"/>
  <c r="S710" i="3"/>
  <c r="S707" i="3"/>
  <c r="S706" i="3"/>
  <c r="S704" i="3"/>
  <c r="S703" i="3"/>
  <c r="S702" i="3"/>
  <c r="S700" i="3"/>
  <c r="S698" i="3"/>
  <c r="S697" i="3"/>
  <c r="S696" i="3"/>
  <c r="S695" i="3"/>
  <c r="S694" i="3"/>
  <c r="S693" i="3"/>
  <c r="S691" i="3"/>
  <c r="S689" i="3"/>
  <c r="S677" i="3"/>
  <c r="S672" i="3"/>
  <c r="S659" i="3"/>
  <c r="S653" i="3"/>
  <c r="S652" i="3"/>
  <c r="S650" i="3"/>
  <c r="S636" i="3"/>
  <c r="S633" i="3"/>
  <c r="S625" i="3"/>
  <c r="S623" i="3"/>
  <c r="S622" i="3"/>
  <c r="S620" i="3"/>
  <c r="S617" i="3"/>
  <c r="S600" i="3"/>
  <c r="S596" i="3"/>
  <c r="S593" i="3"/>
  <c r="S590" i="3"/>
  <c r="S588" i="3"/>
  <c r="S582" i="3"/>
  <c r="S580" i="3"/>
  <c r="S564" i="3"/>
  <c r="S559" i="3"/>
  <c r="S557" i="3"/>
  <c r="S555" i="3"/>
  <c r="S553" i="3"/>
  <c r="S551" i="3"/>
  <c r="S549" i="3"/>
  <c r="S545" i="3"/>
  <c r="S543" i="3"/>
  <c r="S537" i="3"/>
  <c r="S533" i="3"/>
  <c r="S532" i="3"/>
  <c r="S530" i="3"/>
  <c r="S526" i="3"/>
  <c r="S517" i="3"/>
  <c r="S513" i="3"/>
  <c r="S504" i="3"/>
  <c r="S501" i="3"/>
  <c r="S500" i="3"/>
  <c r="S499" i="3"/>
  <c r="S498" i="3"/>
  <c r="S496" i="3"/>
  <c r="S495" i="3"/>
  <c r="S494" i="3"/>
  <c r="S492" i="3"/>
  <c r="S491" i="3"/>
  <c r="S490" i="3"/>
  <c r="S488" i="3"/>
  <c r="S486" i="3"/>
  <c r="S484" i="3"/>
  <c r="S482" i="3"/>
  <c r="S481" i="3"/>
  <c r="S480" i="3"/>
  <c r="S478" i="3"/>
  <c r="S476" i="3"/>
  <c r="S474" i="3"/>
  <c r="S471" i="3"/>
  <c r="S470" i="3"/>
  <c r="S468" i="3"/>
  <c r="S457" i="3"/>
  <c r="S456" i="3"/>
  <c r="S454" i="3"/>
  <c r="S444" i="3"/>
  <c r="S443" i="3"/>
  <c r="S442" i="3"/>
  <c r="S441" i="3"/>
  <c r="S439" i="3"/>
  <c r="S437" i="3"/>
  <c r="S435" i="3"/>
  <c r="S433" i="3"/>
  <c r="S431" i="3"/>
  <c r="S430" i="3"/>
  <c r="S429" i="3"/>
  <c r="S427" i="3"/>
  <c r="S426" i="3"/>
  <c r="S424" i="3"/>
  <c r="S422" i="3"/>
  <c r="S420" i="3"/>
  <c r="S419" i="3"/>
  <c r="S418" i="3"/>
  <c r="S417" i="3"/>
  <c r="S415" i="3"/>
  <c r="S413" i="3"/>
  <c r="S411" i="3"/>
  <c r="S409" i="3"/>
  <c r="S407" i="3"/>
  <c r="S406" i="3"/>
  <c r="S405" i="3"/>
  <c r="S403" i="3"/>
  <c r="S401" i="3"/>
  <c r="S399" i="3"/>
  <c r="S397" i="3"/>
  <c r="S396" i="3"/>
  <c r="S395" i="3"/>
  <c r="S393" i="3"/>
  <c r="S392" i="3"/>
  <c r="S390" i="3"/>
  <c r="S388" i="3"/>
  <c r="S382" i="3"/>
  <c r="S379" i="3"/>
  <c r="S378" i="3"/>
  <c r="S376" i="3"/>
  <c r="S373" i="3"/>
  <c r="S365" i="3"/>
  <c r="S361" i="3"/>
  <c r="S360" i="3"/>
  <c r="S359" i="3"/>
  <c r="S358" i="3"/>
  <c r="S356" i="3"/>
  <c r="S355" i="3"/>
  <c r="S353" i="3"/>
  <c r="S351" i="3"/>
  <c r="S350" i="3"/>
  <c r="S349" i="3"/>
  <c r="S348" i="3"/>
  <c r="S346" i="3"/>
  <c r="S345" i="3"/>
  <c r="S343" i="3"/>
  <c r="S330" i="3"/>
  <c r="S328" i="3"/>
  <c r="S327" i="3"/>
  <c r="S325" i="3"/>
  <c r="S316" i="3"/>
  <c r="S315" i="3"/>
  <c r="S313" i="3"/>
  <c r="S268" i="3"/>
  <c r="S267" i="3"/>
  <c r="S265" i="3"/>
  <c r="S261" i="3"/>
  <c r="S250" i="3"/>
  <c r="S233" i="3"/>
  <c r="S230" i="3"/>
  <c r="S226" i="3"/>
  <c r="S211" i="3"/>
  <c r="S205" i="3"/>
  <c r="S195" i="3"/>
  <c r="S193" i="3"/>
  <c r="S192" i="3"/>
  <c r="S191" i="3"/>
  <c r="S190" i="3"/>
  <c r="S188" i="3"/>
  <c r="S186" i="3"/>
  <c r="S184" i="3"/>
  <c r="S182" i="3"/>
  <c r="S180" i="3"/>
  <c r="S179" i="3"/>
  <c r="S178" i="3"/>
  <c r="S176" i="3"/>
  <c r="S175" i="3"/>
  <c r="S173" i="3"/>
  <c r="S171" i="3"/>
  <c r="S169" i="3"/>
  <c r="S167" i="3"/>
  <c r="S166" i="3"/>
  <c r="S165" i="3"/>
  <c r="S164" i="3"/>
  <c r="S162" i="3"/>
  <c r="S161" i="3"/>
  <c r="S159" i="3"/>
  <c r="S157" i="3"/>
  <c r="S155" i="3"/>
  <c r="S151" i="3"/>
  <c r="S150" i="3"/>
  <c r="S148" i="3"/>
  <c r="S146" i="3"/>
  <c r="S142" i="3"/>
  <c r="S141" i="3"/>
  <c r="S140" i="3"/>
  <c r="S139" i="3"/>
  <c r="S138" i="3"/>
  <c r="S136" i="3"/>
  <c r="S134" i="3"/>
  <c r="S130" i="3"/>
  <c r="S127" i="3"/>
  <c r="S126" i="3"/>
  <c r="S124" i="3"/>
  <c r="S121" i="3"/>
  <c r="S120" i="3"/>
  <c r="S118" i="3"/>
  <c r="S114" i="3"/>
  <c r="S112" i="3"/>
  <c r="S109" i="3"/>
  <c r="S104" i="3"/>
  <c r="S103" i="3"/>
  <c r="S101" i="3"/>
  <c r="S96" i="3"/>
  <c r="S94" i="3"/>
  <c r="S91" i="3"/>
  <c r="S86" i="3"/>
  <c r="S85" i="3"/>
  <c r="S84" i="3"/>
  <c r="S83" i="3"/>
  <c r="S81" i="3"/>
  <c r="S79" i="3"/>
  <c r="S77" i="3"/>
  <c r="S75" i="3"/>
  <c r="S73" i="3"/>
  <c r="S72" i="3"/>
  <c r="S71" i="3"/>
  <c r="S69" i="3"/>
  <c r="S67" i="3"/>
  <c r="S65" i="3"/>
  <c r="S61" i="3"/>
  <c r="S60" i="3"/>
  <c r="S58" i="3"/>
  <c r="S54" i="3"/>
  <c r="S53" i="3"/>
  <c r="S52" i="3"/>
  <c r="S51" i="3"/>
  <c r="S49" i="3"/>
  <c r="S48" i="3"/>
  <c r="S46" i="3"/>
  <c r="S44" i="3"/>
  <c r="S42" i="3"/>
  <c r="S40" i="3"/>
  <c r="S39" i="3"/>
  <c r="S38" i="3"/>
  <c r="S37" i="3"/>
  <c r="S35" i="3"/>
  <c r="S34" i="3"/>
  <c r="S32" i="3"/>
  <c r="S30" i="3"/>
  <c r="S28" i="3"/>
  <c r="S19" i="3"/>
  <c r="S18" i="3"/>
  <c r="S16" i="3"/>
  <c r="S14" i="3"/>
  <c r="F862" i="3" l="1"/>
  <c r="S862" i="3" s="1"/>
  <c r="F864" i="3"/>
  <c r="S864" i="3" s="1"/>
  <c r="F123" i="3"/>
  <c r="S123" i="3" s="1"/>
  <c r="F863" i="3"/>
  <c r="S863" i="3" s="1"/>
  <c r="F667" i="3"/>
  <c r="S667" i="3" s="1"/>
  <c r="F662" i="3" l="1"/>
  <c r="S662" i="3" s="1"/>
  <c r="F679" i="3"/>
  <c r="S679" i="3" s="1"/>
  <c r="F681" i="3"/>
  <c r="S681" i="3" s="1"/>
  <c r="F514" i="3"/>
  <c r="S514" i="3" s="1"/>
  <c r="F485" i="3" l="1"/>
  <c r="S485" i="3" s="1"/>
  <c r="F154" i="3"/>
  <c r="S154" i="3" s="1"/>
  <c r="F438" i="3"/>
  <c r="S438" i="3" s="1"/>
  <c r="F616" i="3"/>
  <c r="S616" i="3" s="1"/>
  <c r="F642" i="3"/>
  <c r="S642" i="3" s="1"/>
  <c r="F628" i="3"/>
  <c r="S628" i="3" s="1"/>
  <c r="F638" i="3"/>
  <c r="S638" i="3" s="1"/>
  <c r="F643" i="3"/>
  <c r="S643" i="3" s="1"/>
  <c r="F631" i="3"/>
  <c r="S631" i="3" s="1"/>
  <c r="F607" i="3"/>
  <c r="S607" i="3" s="1"/>
  <c r="F576" i="3"/>
  <c r="S576" i="3" s="1"/>
  <c r="F604" i="3"/>
  <c r="S604" i="3" s="1"/>
  <c r="F579" i="3"/>
  <c r="S579" i="3" s="1"/>
  <c r="F570" i="3"/>
  <c r="S570" i="3" s="1"/>
  <c r="F606" i="3"/>
  <c r="S606" i="3" s="1"/>
  <c r="F508" i="3"/>
  <c r="S508" i="3" s="1"/>
  <c r="F563" i="3"/>
  <c r="S563" i="3" s="1"/>
  <c r="F540" i="3"/>
  <c r="S540" i="3" s="1"/>
  <c r="F519" i="3"/>
  <c r="S519" i="3" s="1"/>
  <c r="F525" i="3"/>
  <c r="S525" i="3" s="1"/>
  <c r="F516" i="3"/>
  <c r="S516" i="3" s="1"/>
  <c r="F511" i="3"/>
  <c r="S511" i="3" s="1"/>
  <c r="F520" i="3"/>
  <c r="S520" i="3" s="1"/>
  <c r="F524" i="3"/>
  <c r="S524" i="3" s="1"/>
  <c r="F449" i="3"/>
  <c r="S449" i="3" s="1"/>
  <c r="F97" i="3"/>
  <c r="S97" i="3" s="1"/>
  <c r="F381" i="3"/>
  <c r="S381" i="3" s="1"/>
  <c r="F291" i="3"/>
  <c r="S291" i="3" s="1"/>
  <c r="F323" i="3"/>
  <c r="S323" i="3" s="1"/>
  <c r="F318" i="3"/>
  <c r="S318" i="3" s="1"/>
  <c r="F324" i="3"/>
  <c r="S324" i="3" s="1"/>
  <c r="F293" i="3"/>
  <c r="S293" i="3" s="1"/>
  <c r="F279" i="3"/>
  <c r="S279" i="3" s="1"/>
  <c r="F203" i="3"/>
  <c r="S203" i="3" s="1"/>
  <c r="F107" i="3"/>
  <c r="S107" i="3" s="1"/>
  <c r="R489" i="3" l="1"/>
  <c r="P489" i="3"/>
  <c r="N489" i="3"/>
  <c r="L489" i="3"/>
  <c r="J489" i="3"/>
  <c r="H489" i="3"/>
  <c r="R404" i="3" l="1"/>
  <c r="P404" i="3"/>
  <c r="N404" i="3"/>
  <c r="L404" i="3"/>
  <c r="J404" i="3"/>
  <c r="H404" i="3"/>
  <c r="N17" i="3" l="1"/>
  <c r="P17" i="3"/>
  <c r="R17" i="3"/>
  <c r="F963" i="3" l="1"/>
  <c r="S963" i="3" s="1"/>
  <c r="F699" i="3"/>
  <c r="S699" i="3" s="1"/>
  <c r="F807" i="3"/>
  <c r="S807" i="3" s="1"/>
  <c r="F658" i="3"/>
  <c r="S658" i="3" s="1"/>
  <c r="F78" i="3"/>
  <c r="S78" i="3" s="1"/>
  <c r="F796" i="3"/>
  <c r="S796" i="3" s="1"/>
  <c r="F655" i="3"/>
  <c r="S655" i="3" s="1"/>
  <c r="F640" i="3"/>
  <c r="S640" i="3" s="1"/>
  <c r="F632" i="3"/>
  <c r="S632" i="3" s="1"/>
  <c r="F509" i="3"/>
  <c r="S509" i="3" s="1"/>
  <c r="F502" i="3"/>
  <c r="S502" i="3" s="1"/>
  <c r="F477" i="3"/>
  <c r="S477" i="3" s="1"/>
  <c r="F206" i="3"/>
  <c r="S206" i="3" s="1"/>
  <c r="R59" i="3"/>
  <c r="F954" i="3"/>
  <c r="S954" i="3" s="1"/>
  <c r="F341" i="3"/>
  <c r="S341" i="3" s="1"/>
  <c r="F398" i="3"/>
  <c r="S398" i="3" s="1"/>
  <c r="R822" i="3"/>
  <c r="R830" i="3"/>
  <c r="R849" i="3"/>
  <c r="R859" i="3"/>
  <c r="R872" i="3"/>
  <c r="R878" i="3"/>
  <c r="R888" i="3" s="1"/>
  <c r="R902" i="3"/>
  <c r="P822" i="3"/>
  <c r="P830" i="3" s="1"/>
  <c r="P849" i="3"/>
  <c r="P859" i="3"/>
  <c r="P872" i="3"/>
  <c r="P878" i="3"/>
  <c r="P888" i="3" s="1"/>
  <c r="P902" i="3"/>
  <c r="N822" i="3"/>
  <c r="N830" i="3"/>
  <c r="N849" i="3"/>
  <c r="N859" i="3"/>
  <c r="N872" i="3"/>
  <c r="N878" i="3"/>
  <c r="N888" i="3" s="1"/>
  <c r="N902" i="3"/>
  <c r="L822" i="3"/>
  <c r="L830" i="3" s="1"/>
  <c r="L849" i="3"/>
  <c r="L859" i="3"/>
  <c r="L872" i="3"/>
  <c r="L878" i="3"/>
  <c r="L888" i="3" s="1"/>
  <c r="L902" i="3"/>
  <c r="J822" i="3"/>
  <c r="J830" i="3"/>
  <c r="J849" i="3"/>
  <c r="J859" i="3"/>
  <c r="J872" i="3"/>
  <c r="J878" i="3"/>
  <c r="J888" i="3" s="1"/>
  <c r="J902" i="3"/>
  <c r="H822" i="3"/>
  <c r="F822" i="3" s="1"/>
  <c r="S822" i="3" s="1"/>
  <c r="H849" i="3"/>
  <c r="H859" i="3"/>
  <c r="H872" i="3"/>
  <c r="H878" i="3"/>
  <c r="H888" i="3" s="1"/>
  <c r="H902" i="3"/>
  <c r="H17" i="3"/>
  <c r="H31" i="3" s="1"/>
  <c r="H50" i="3"/>
  <c r="H59" i="3"/>
  <c r="H66" i="3"/>
  <c r="H125" i="3"/>
  <c r="H135" i="3"/>
  <c r="H149" i="3"/>
  <c r="H158" i="3"/>
  <c r="H177" i="3"/>
  <c r="H189" i="3"/>
  <c r="H377" i="3"/>
  <c r="H389" i="3" s="1"/>
  <c r="H416" i="3"/>
  <c r="H428" i="3"/>
  <c r="H440" i="3" s="1"/>
  <c r="H455" i="3" s="1"/>
  <c r="H475" i="3"/>
  <c r="H701" i="3"/>
  <c r="H711" i="3"/>
  <c r="H724" i="3" s="1"/>
  <c r="H731" i="3" s="1"/>
  <c r="H757" i="3"/>
  <c r="H767" i="3"/>
  <c r="F487" i="3"/>
  <c r="S487" i="3" s="1"/>
  <c r="F402" i="3"/>
  <c r="S402" i="3" s="1"/>
  <c r="R475" i="3"/>
  <c r="P475" i="3"/>
  <c r="N475" i="3"/>
  <c r="L475" i="3"/>
  <c r="J475" i="3"/>
  <c r="F385" i="3"/>
  <c r="S385" i="3" s="1"/>
  <c r="R125" i="3"/>
  <c r="R135" i="3" s="1"/>
  <c r="R149" i="3"/>
  <c r="R158" i="3" s="1"/>
  <c r="R711" i="3"/>
  <c r="R724" i="3" s="1"/>
  <c r="R731" i="3" s="1"/>
  <c r="R757" i="3"/>
  <c r="R701" i="3"/>
  <c r="R767" i="3"/>
  <c r="R31" i="3"/>
  <c r="R50" i="3"/>
  <c r="R66" i="3"/>
  <c r="R177" i="3"/>
  <c r="R189" i="3" s="1"/>
  <c r="R377" i="3"/>
  <c r="R389" i="3" s="1"/>
  <c r="R416" i="3"/>
  <c r="R428" i="3"/>
  <c r="R440" i="3" s="1"/>
  <c r="N31" i="3"/>
  <c r="N36" i="3" s="1"/>
  <c r="N50" i="3"/>
  <c r="N59" i="3"/>
  <c r="N66" i="3" s="1"/>
  <c r="N125" i="3"/>
  <c r="N135" i="3" s="1"/>
  <c r="N149" i="3"/>
  <c r="N158" i="3" s="1"/>
  <c r="N177" i="3"/>
  <c r="N189" i="3" s="1"/>
  <c r="N377" i="3"/>
  <c r="N389" i="3" s="1"/>
  <c r="N416" i="3"/>
  <c r="N428" i="3"/>
  <c r="N440" i="3" s="1"/>
  <c r="N701" i="3"/>
  <c r="N711" i="3"/>
  <c r="N724" i="3" s="1"/>
  <c r="N731" i="3" s="1"/>
  <c r="N757" i="3"/>
  <c r="N767" i="3"/>
  <c r="P31" i="3"/>
  <c r="P50" i="3"/>
  <c r="P59" i="3"/>
  <c r="P66" i="3"/>
  <c r="P125" i="3"/>
  <c r="P135" i="3"/>
  <c r="P149" i="3"/>
  <c r="P158" i="3"/>
  <c r="P177" i="3"/>
  <c r="P189" i="3"/>
  <c r="P377" i="3"/>
  <c r="P389" i="3" s="1"/>
  <c r="P416" i="3"/>
  <c r="P428" i="3"/>
  <c r="P440" i="3" s="1"/>
  <c r="P455" i="3" s="1"/>
  <c r="P701" i="3"/>
  <c r="P711" i="3"/>
  <c r="P724" i="3" s="1"/>
  <c r="P731" i="3" s="1"/>
  <c r="P757" i="3"/>
  <c r="P767" i="3"/>
  <c r="J17" i="3"/>
  <c r="J31" i="3" s="1"/>
  <c r="J50" i="3"/>
  <c r="J59" i="3"/>
  <c r="J66" i="3"/>
  <c r="J125" i="3"/>
  <c r="J135" i="3"/>
  <c r="J149" i="3"/>
  <c r="J158" i="3"/>
  <c r="J177" i="3"/>
  <c r="J189" i="3"/>
  <c r="J377" i="3"/>
  <c r="J389" i="3" s="1"/>
  <c r="J416" i="3"/>
  <c r="J428" i="3"/>
  <c r="J440" i="3" s="1"/>
  <c r="J701" i="3"/>
  <c r="J711" i="3"/>
  <c r="J724" i="3"/>
  <c r="J731" i="3" s="1"/>
  <c r="J757" i="3"/>
  <c r="J767" i="3"/>
  <c r="F961" i="3"/>
  <c r="S961" i="3" s="1"/>
  <c r="L17" i="3"/>
  <c r="L31" i="3" s="1"/>
  <c r="L50" i="3"/>
  <c r="L59" i="3"/>
  <c r="L66" i="3"/>
  <c r="L125" i="3"/>
  <c r="L135" i="3"/>
  <c r="L149" i="3"/>
  <c r="L158" i="3"/>
  <c r="L177" i="3"/>
  <c r="L189" i="3"/>
  <c r="L377" i="3"/>
  <c r="L389" i="3" s="1"/>
  <c r="L416" i="3"/>
  <c r="L428" i="3"/>
  <c r="L440" i="3" s="1"/>
  <c r="L455" i="3" s="1"/>
  <c r="L701" i="3"/>
  <c r="L711" i="3"/>
  <c r="L724" i="3" s="1"/>
  <c r="L731" i="3" s="1"/>
  <c r="L757" i="3"/>
  <c r="L767" i="3"/>
  <c r="F767" i="3" s="1"/>
  <c r="S767" i="3" s="1"/>
  <c r="L956" i="3"/>
  <c r="F951" i="3"/>
  <c r="S951" i="3" s="1"/>
  <c r="F949" i="3"/>
  <c r="S949" i="3" s="1"/>
  <c r="F947" i="3"/>
  <c r="S947" i="3" s="1"/>
  <c r="F943" i="3"/>
  <c r="S943" i="3" s="1"/>
  <c r="F941" i="3"/>
  <c r="S941" i="3" s="1"/>
  <c r="F935" i="3"/>
  <c r="S935" i="3" s="1"/>
  <c r="F933" i="3"/>
  <c r="S933" i="3" s="1"/>
  <c r="F928" i="3"/>
  <c r="S928" i="3" s="1"/>
  <c r="F927" i="3"/>
  <c r="S927" i="3" s="1"/>
  <c r="F926" i="3"/>
  <c r="S926" i="3" s="1"/>
  <c r="F925" i="3"/>
  <c r="S925" i="3" s="1"/>
  <c r="F924" i="3"/>
  <c r="S924" i="3" s="1"/>
  <c r="F923" i="3"/>
  <c r="S923" i="3" s="1"/>
  <c r="F922" i="3"/>
  <c r="S922" i="3" s="1"/>
  <c r="F921" i="3"/>
  <c r="S921" i="3" s="1"/>
  <c r="F920" i="3"/>
  <c r="S920" i="3" s="1"/>
  <c r="F919" i="3"/>
  <c r="S919" i="3" s="1"/>
  <c r="F918" i="3"/>
  <c r="S918" i="3" s="1"/>
  <c r="F915" i="3"/>
  <c r="S915" i="3" s="1"/>
  <c r="F908" i="3"/>
  <c r="S908" i="3" s="1"/>
  <c r="F905" i="3"/>
  <c r="S905" i="3" s="1"/>
  <c r="F900" i="3"/>
  <c r="S900" i="3" s="1"/>
  <c r="F899" i="3"/>
  <c r="S899" i="3" s="1"/>
  <c r="F898" i="3"/>
  <c r="S898" i="3" s="1"/>
  <c r="F897" i="3"/>
  <c r="S897" i="3" s="1"/>
  <c r="F894" i="3"/>
  <c r="S894" i="3" s="1"/>
  <c r="F892" i="3"/>
  <c r="S892" i="3" s="1"/>
  <c r="F890" i="3"/>
  <c r="S890" i="3" s="1"/>
  <c r="F886" i="3"/>
  <c r="S886" i="3" s="1"/>
  <c r="F885" i="3"/>
  <c r="S885" i="3" s="1"/>
  <c r="F884" i="3"/>
  <c r="S884" i="3" s="1"/>
  <c r="F883" i="3"/>
  <c r="S883" i="3" s="1"/>
  <c r="F880" i="3"/>
  <c r="S880" i="3" s="1"/>
  <c r="F876" i="3"/>
  <c r="S876" i="3" s="1"/>
  <c r="F875" i="3"/>
  <c r="S875" i="3" s="1"/>
  <c r="F870" i="3"/>
  <c r="S870" i="3" s="1"/>
  <c r="F865" i="3"/>
  <c r="S865" i="3" s="1"/>
  <c r="F857" i="3"/>
  <c r="S857" i="3" s="1"/>
  <c r="F856" i="3"/>
  <c r="S856" i="3" s="1"/>
  <c r="F853" i="3"/>
  <c r="S853" i="3" s="1"/>
  <c r="F847" i="3"/>
  <c r="S847" i="3" s="1"/>
  <c r="F846" i="3"/>
  <c r="S846" i="3" s="1"/>
  <c r="F845" i="3"/>
  <c r="S845" i="3" s="1"/>
  <c r="F844" i="3"/>
  <c r="S844" i="3" s="1"/>
  <c r="F842" i="3"/>
  <c r="S842" i="3" s="1"/>
  <c r="F839" i="3"/>
  <c r="S839" i="3" s="1"/>
  <c r="F837" i="3"/>
  <c r="S837" i="3" s="1"/>
  <c r="F834" i="3"/>
  <c r="S834" i="3" s="1"/>
  <c r="F832" i="3"/>
  <c r="S832" i="3" s="1"/>
  <c r="F828" i="3"/>
  <c r="S828" i="3" s="1"/>
  <c r="F827" i="3"/>
  <c r="S827" i="3" s="1"/>
  <c r="F826" i="3"/>
  <c r="S826" i="3" s="1"/>
  <c r="F825" i="3"/>
  <c r="S825" i="3" s="1"/>
  <c r="F820" i="3"/>
  <c r="S820" i="3" s="1"/>
  <c r="F819" i="3"/>
  <c r="S819" i="3" s="1"/>
  <c r="F818" i="3"/>
  <c r="S818" i="3" s="1"/>
  <c r="F815" i="3"/>
  <c r="S815" i="3" s="1"/>
  <c r="F811" i="3"/>
  <c r="S811" i="3" s="1"/>
  <c r="F809" i="3"/>
  <c r="S809" i="3" s="1"/>
  <c r="F808" i="3"/>
  <c r="S808" i="3" s="1"/>
  <c r="F805" i="3"/>
  <c r="S805" i="3" s="1"/>
  <c r="F804" i="3"/>
  <c r="S804" i="3" s="1"/>
  <c r="F802" i="3"/>
  <c r="S802" i="3" s="1"/>
  <c r="F801" i="3"/>
  <c r="S801" i="3" s="1"/>
  <c r="F800" i="3"/>
  <c r="S800" i="3" s="1"/>
  <c r="F799" i="3"/>
  <c r="S799" i="3" s="1"/>
  <c r="F797" i="3"/>
  <c r="S797" i="3" s="1"/>
  <c r="F795" i="3"/>
  <c r="S795" i="3" s="1"/>
  <c r="F793" i="3"/>
  <c r="S793" i="3" s="1"/>
  <c r="F791" i="3"/>
  <c r="S791" i="3" s="1"/>
  <c r="F790" i="3"/>
  <c r="S790" i="3" s="1"/>
  <c r="F789" i="3"/>
  <c r="S789" i="3" s="1"/>
  <c r="F787" i="3"/>
  <c r="S787" i="3" s="1"/>
  <c r="F785" i="3"/>
  <c r="S785" i="3" s="1"/>
  <c r="F777" i="3"/>
  <c r="S777" i="3" s="1"/>
  <c r="F774" i="3"/>
  <c r="S774" i="3" s="1"/>
  <c r="F771" i="3"/>
  <c r="S771" i="3" s="1"/>
  <c r="F769" i="3"/>
  <c r="S769" i="3" s="1"/>
  <c r="F765" i="3"/>
  <c r="S765" i="3" s="1"/>
  <c r="F764" i="3"/>
  <c r="S764" i="3" s="1"/>
  <c r="F762" i="3"/>
  <c r="S762" i="3" s="1"/>
  <c r="F755" i="3"/>
  <c r="S755" i="3" s="1"/>
  <c r="F754" i="3"/>
  <c r="S754" i="3" s="1"/>
  <c r="F749" i="3"/>
  <c r="S749" i="3" s="1"/>
  <c r="F747" i="3"/>
  <c r="S747" i="3" s="1"/>
  <c r="F746" i="3"/>
  <c r="S746" i="3" s="1"/>
  <c r="F740" i="3"/>
  <c r="S740" i="3" s="1"/>
  <c r="F739" i="3"/>
  <c r="S739" i="3" s="1"/>
  <c r="F738" i="3"/>
  <c r="S738" i="3" s="1"/>
  <c r="F737" i="3"/>
  <c r="S737" i="3" s="1"/>
  <c r="F729" i="3"/>
  <c r="S729" i="3" s="1"/>
  <c r="F728" i="3"/>
  <c r="S728" i="3" s="1"/>
  <c r="F727" i="3"/>
  <c r="S727" i="3" s="1"/>
  <c r="F722" i="3"/>
  <c r="S722" i="3" s="1"/>
  <c r="F721" i="3"/>
  <c r="S721" i="3" s="1"/>
  <c r="F720" i="3"/>
  <c r="S720" i="3" s="1"/>
  <c r="F718" i="3"/>
  <c r="S718" i="3" s="1"/>
  <c r="F717" i="3"/>
  <c r="S717" i="3" s="1"/>
  <c r="F719" i="3"/>
  <c r="S719" i="3" s="1"/>
  <c r="F716" i="3"/>
  <c r="S716" i="3" s="1"/>
  <c r="F714" i="3"/>
  <c r="S714" i="3" s="1"/>
  <c r="F709" i="3"/>
  <c r="S709" i="3" s="1"/>
  <c r="F708" i="3"/>
  <c r="S708" i="3" s="1"/>
  <c r="F705" i="3"/>
  <c r="S705" i="3" s="1"/>
  <c r="K690" i="3"/>
  <c r="F688" i="3"/>
  <c r="S688" i="3" s="1"/>
  <c r="F687" i="3"/>
  <c r="S687" i="3" s="1"/>
  <c r="F686" i="3"/>
  <c r="S686" i="3" s="1"/>
  <c r="F685" i="3"/>
  <c r="S685" i="3" s="1"/>
  <c r="F684" i="3"/>
  <c r="S684" i="3" s="1"/>
  <c r="F683" i="3"/>
  <c r="S683" i="3" s="1"/>
  <c r="F682" i="3"/>
  <c r="S682" i="3" s="1"/>
  <c r="F680" i="3"/>
  <c r="S680" i="3" s="1"/>
  <c r="F678" i="3"/>
  <c r="S678" i="3" s="1"/>
  <c r="F676" i="3"/>
  <c r="S676" i="3" s="1"/>
  <c r="F675" i="3"/>
  <c r="S675" i="3" s="1"/>
  <c r="F674" i="3"/>
  <c r="S674" i="3" s="1"/>
  <c r="F673" i="3"/>
  <c r="S673" i="3" s="1"/>
  <c r="F671" i="3"/>
  <c r="S671" i="3" s="1"/>
  <c r="F670" i="3"/>
  <c r="S670" i="3" s="1"/>
  <c r="F669" i="3"/>
  <c r="S669" i="3" s="1"/>
  <c r="F668" i="3"/>
  <c r="S668" i="3" s="1"/>
  <c r="F666" i="3"/>
  <c r="S666" i="3" s="1"/>
  <c r="F665" i="3"/>
  <c r="S665" i="3" s="1"/>
  <c r="F664" i="3"/>
  <c r="S664" i="3" s="1"/>
  <c r="F663" i="3"/>
  <c r="S663" i="3" s="1"/>
  <c r="F661" i="3"/>
  <c r="S661" i="3" s="1"/>
  <c r="F660" i="3"/>
  <c r="S660" i="3" s="1"/>
  <c r="F657" i="3"/>
  <c r="S657" i="3" s="1"/>
  <c r="F656" i="3"/>
  <c r="S656" i="3" s="1"/>
  <c r="F654" i="3"/>
  <c r="S654" i="3" s="1"/>
  <c r="F649" i="3"/>
  <c r="S649" i="3" s="1"/>
  <c r="F648" i="3"/>
  <c r="S648" i="3" s="1"/>
  <c r="F647" i="3"/>
  <c r="S647" i="3" s="1"/>
  <c r="F646" i="3"/>
  <c r="S646" i="3" s="1"/>
  <c r="F645" i="3"/>
  <c r="S645" i="3" s="1"/>
  <c r="F644" i="3"/>
  <c r="S644" i="3" s="1"/>
  <c r="F641" i="3"/>
  <c r="S641" i="3" s="1"/>
  <c r="F639" i="3"/>
  <c r="S639" i="3" s="1"/>
  <c r="F637" i="3"/>
  <c r="S637" i="3" s="1"/>
  <c r="F635" i="3"/>
  <c r="S635" i="3" s="1"/>
  <c r="F634" i="3"/>
  <c r="S634" i="3" s="1"/>
  <c r="F630" i="3"/>
  <c r="S630" i="3" s="1"/>
  <c r="F629" i="3"/>
  <c r="S629" i="3" s="1"/>
  <c r="F627" i="3"/>
  <c r="S627" i="3" s="1"/>
  <c r="F626" i="3"/>
  <c r="S626" i="3" s="1"/>
  <c r="F624" i="3"/>
  <c r="S624" i="3" s="1"/>
  <c r="F619" i="3"/>
  <c r="S619" i="3" s="1"/>
  <c r="F618" i="3"/>
  <c r="S618" i="3" s="1"/>
  <c r="F615" i="3"/>
  <c r="S615" i="3" s="1"/>
  <c r="F614" i="3"/>
  <c r="S614" i="3" s="1"/>
  <c r="F613" i="3"/>
  <c r="S613" i="3" s="1"/>
  <c r="F612" i="3"/>
  <c r="S612" i="3" s="1"/>
  <c r="F611" i="3"/>
  <c r="S611" i="3" s="1"/>
  <c r="F610" i="3"/>
  <c r="S610" i="3" s="1"/>
  <c r="F609" i="3"/>
  <c r="S609" i="3" s="1"/>
  <c r="F608" i="3"/>
  <c r="S608" i="3" s="1"/>
  <c r="F605" i="3"/>
  <c r="S605" i="3" s="1"/>
  <c r="F603" i="3"/>
  <c r="S603" i="3" s="1"/>
  <c r="F602" i="3"/>
  <c r="S602" i="3" s="1"/>
  <c r="F601" i="3"/>
  <c r="S601" i="3" s="1"/>
  <c r="F599" i="3"/>
  <c r="S599" i="3" s="1"/>
  <c r="F598" i="3"/>
  <c r="S598" i="3" s="1"/>
  <c r="F597" i="3"/>
  <c r="S597" i="3" s="1"/>
  <c r="F595" i="3"/>
  <c r="S595" i="3" s="1"/>
  <c r="F594" i="3"/>
  <c r="S594" i="3" s="1"/>
  <c r="F592" i="3"/>
  <c r="S592" i="3" s="1"/>
  <c r="F591" i="3"/>
  <c r="S591" i="3" s="1"/>
  <c r="F589" i="3"/>
  <c r="S589" i="3" s="1"/>
  <c r="F587" i="3"/>
  <c r="S587" i="3" s="1"/>
  <c r="F586" i="3"/>
  <c r="S586" i="3" s="1"/>
  <c r="F585" i="3"/>
  <c r="S585" i="3" s="1"/>
  <c r="F584" i="3"/>
  <c r="S584" i="3" s="1"/>
  <c r="F583" i="3"/>
  <c r="S583" i="3" s="1"/>
  <c r="F581" i="3"/>
  <c r="S581" i="3" s="1"/>
  <c r="F578" i="3"/>
  <c r="S578" i="3" s="1"/>
  <c r="F577" i="3"/>
  <c r="S577" i="3" s="1"/>
  <c r="F575" i="3"/>
  <c r="S575" i="3" s="1"/>
  <c r="F574" i="3"/>
  <c r="S574" i="3" s="1"/>
  <c r="F573" i="3"/>
  <c r="S573" i="3" s="1"/>
  <c r="F572" i="3"/>
  <c r="S572" i="3" s="1"/>
  <c r="F571" i="3"/>
  <c r="S571" i="3" s="1"/>
  <c r="F569" i="3"/>
  <c r="S569" i="3" s="1"/>
  <c r="F568" i="3"/>
  <c r="S568" i="3" s="1"/>
  <c r="F567" i="3"/>
  <c r="S567" i="3" s="1"/>
  <c r="F566" i="3"/>
  <c r="S566" i="3" s="1"/>
  <c r="F565" i="3"/>
  <c r="S565" i="3" s="1"/>
  <c r="F562" i="3"/>
  <c r="S562" i="3" s="1"/>
  <c r="F561" i="3"/>
  <c r="S561" i="3" s="1"/>
  <c r="F560" i="3"/>
  <c r="S560" i="3" s="1"/>
  <c r="F558" i="3"/>
  <c r="S558" i="3" s="1"/>
  <c r="F556" i="3"/>
  <c r="S556" i="3" s="1"/>
  <c r="F554" i="3"/>
  <c r="S554" i="3" s="1"/>
  <c r="F552" i="3"/>
  <c r="S552" i="3" s="1"/>
  <c r="F550" i="3"/>
  <c r="S550" i="3" s="1"/>
  <c r="F548" i="3"/>
  <c r="S548" i="3" s="1"/>
  <c r="F547" i="3"/>
  <c r="S547" i="3" s="1"/>
  <c r="F546" i="3"/>
  <c r="S546" i="3" s="1"/>
  <c r="F544" i="3"/>
  <c r="S544" i="3" s="1"/>
  <c r="F542" i="3"/>
  <c r="S542" i="3" s="1"/>
  <c r="F541" i="3"/>
  <c r="S541" i="3" s="1"/>
  <c r="F539" i="3"/>
  <c r="S539" i="3" s="1"/>
  <c r="F538" i="3"/>
  <c r="S538" i="3" s="1"/>
  <c r="F536" i="3"/>
  <c r="S536" i="3" s="1"/>
  <c r="F535" i="3"/>
  <c r="S535" i="3" s="1"/>
  <c r="F534" i="3"/>
  <c r="S534" i="3" s="1"/>
  <c r="F529" i="3"/>
  <c r="S529" i="3" s="1"/>
  <c r="F528" i="3"/>
  <c r="S528" i="3" s="1"/>
  <c r="F527" i="3"/>
  <c r="S527" i="3" s="1"/>
  <c r="F523" i="3"/>
  <c r="S523" i="3" s="1"/>
  <c r="F522" i="3"/>
  <c r="S522" i="3" s="1"/>
  <c r="F521" i="3"/>
  <c r="S521" i="3" s="1"/>
  <c r="F518" i="3"/>
  <c r="S518" i="3" s="1"/>
  <c r="F515" i="3"/>
  <c r="S515" i="3" s="1"/>
  <c r="F512" i="3"/>
  <c r="S512" i="3" s="1"/>
  <c r="F510" i="3"/>
  <c r="S510" i="3" s="1"/>
  <c r="F507" i="3"/>
  <c r="S507" i="3" s="1"/>
  <c r="F506" i="3"/>
  <c r="S506" i="3" s="1"/>
  <c r="F505" i="3"/>
  <c r="S505" i="3" s="1"/>
  <c r="F503" i="3"/>
  <c r="S503" i="3" s="1"/>
  <c r="F497" i="3"/>
  <c r="S497" i="3" s="1"/>
  <c r="F493" i="3"/>
  <c r="S493" i="3" s="1"/>
  <c r="F483" i="3"/>
  <c r="S483" i="3" s="1"/>
  <c r="F473" i="3"/>
  <c r="S473" i="3" s="1"/>
  <c r="F472" i="3"/>
  <c r="S472" i="3" s="1"/>
  <c r="F467" i="3"/>
  <c r="S467" i="3" s="1"/>
  <c r="F466" i="3"/>
  <c r="S466" i="3" s="1"/>
  <c r="F465" i="3"/>
  <c r="S465" i="3" s="1"/>
  <c r="F464" i="3"/>
  <c r="S464" i="3" s="1"/>
  <c r="F463" i="3"/>
  <c r="S463" i="3" s="1"/>
  <c r="F462" i="3"/>
  <c r="S462" i="3" s="1"/>
  <c r="F461" i="3"/>
  <c r="S461" i="3" s="1"/>
  <c r="F460" i="3"/>
  <c r="S460" i="3" s="1"/>
  <c r="F459" i="3"/>
  <c r="S459" i="3" s="1"/>
  <c r="F458" i="3"/>
  <c r="S458" i="3" s="1"/>
  <c r="F453" i="3"/>
  <c r="S453" i="3" s="1"/>
  <c r="F452" i="3"/>
  <c r="S452" i="3" s="1"/>
  <c r="F451" i="3"/>
  <c r="S451" i="3" s="1"/>
  <c r="F450" i="3"/>
  <c r="S450" i="3" s="1"/>
  <c r="F448" i="3"/>
  <c r="S448" i="3" s="1"/>
  <c r="F447" i="3"/>
  <c r="S447" i="3" s="1"/>
  <c r="F446" i="3"/>
  <c r="S446" i="3" s="1"/>
  <c r="F445" i="3"/>
  <c r="S445" i="3" s="1"/>
  <c r="F436" i="3"/>
  <c r="S436" i="3" s="1"/>
  <c r="F434" i="3"/>
  <c r="S434" i="3" s="1"/>
  <c r="F432" i="3"/>
  <c r="S432" i="3" s="1"/>
  <c r="F425" i="3"/>
  <c r="S425" i="3" s="1"/>
  <c r="F423" i="3"/>
  <c r="S423" i="3" s="1"/>
  <c r="F421" i="3"/>
  <c r="S421" i="3" s="1"/>
  <c r="F414" i="3"/>
  <c r="S414" i="3" s="1"/>
  <c r="F412" i="3"/>
  <c r="S412" i="3" s="1"/>
  <c r="F410" i="3"/>
  <c r="S410" i="3" s="1"/>
  <c r="F408" i="3"/>
  <c r="S408" i="3" s="1"/>
  <c r="F400" i="3"/>
  <c r="S400" i="3" s="1"/>
  <c r="F391" i="3"/>
  <c r="S391" i="3" s="1"/>
  <c r="F387" i="3"/>
  <c r="S387" i="3" s="1"/>
  <c r="F386" i="3"/>
  <c r="S386" i="3" s="1"/>
  <c r="F384" i="3"/>
  <c r="S384" i="3" s="1"/>
  <c r="F383" i="3"/>
  <c r="S383" i="3" s="1"/>
  <c r="F380" i="3"/>
  <c r="S380" i="3" s="1"/>
  <c r="F375" i="3"/>
  <c r="S375" i="3" s="1"/>
  <c r="F374" i="3"/>
  <c r="S374" i="3" s="1"/>
  <c r="F372" i="3"/>
  <c r="S372" i="3" s="1"/>
  <c r="F371" i="3"/>
  <c r="S371" i="3" s="1"/>
  <c r="F370" i="3"/>
  <c r="S370" i="3" s="1"/>
  <c r="F369" i="3"/>
  <c r="S369" i="3" s="1"/>
  <c r="F368" i="3"/>
  <c r="S368" i="3" s="1"/>
  <c r="F367" i="3"/>
  <c r="S367" i="3" s="1"/>
  <c r="F366" i="3"/>
  <c r="S366" i="3" s="1"/>
  <c r="F364" i="3"/>
  <c r="S364" i="3" s="1"/>
  <c r="F363" i="3"/>
  <c r="S363" i="3" s="1"/>
  <c r="F362" i="3"/>
  <c r="S362" i="3" s="1"/>
  <c r="F352" i="3"/>
  <c r="S352" i="3" s="1"/>
  <c r="F354" i="3"/>
  <c r="S354" i="3" s="1"/>
  <c r="F342" i="3"/>
  <c r="S342" i="3" s="1"/>
  <c r="F340" i="3"/>
  <c r="S340" i="3" s="1"/>
  <c r="F339" i="3"/>
  <c r="S339" i="3" s="1"/>
  <c r="F338" i="3"/>
  <c r="S338" i="3" s="1"/>
  <c r="F337" i="3"/>
  <c r="S337" i="3" s="1"/>
  <c r="F336" i="3"/>
  <c r="S336" i="3" s="1"/>
  <c r="F335" i="3"/>
  <c r="S335" i="3" s="1"/>
  <c r="F334" i="3"/>
  <c r="S334" i="3" s="1"/>
  <c r="F333" i="3"/>
  <c r="S333" i="3" s="1"/>
  <c r="F332" i="3"/>
  <c r="S332" i="3" s="1"/>
  <c r="F331" i="3"/>
  <c r="S331" i="3" s="1"/>
  <c r="F329" i="3"/>
  <c r="S329" i="3" s="1"/>
  <c r="F322" i="3"/>
  <c r="S322" i="3" s="1"/>
  <c r="F321" i="3"/>
  <c r="S321" i="3" s="1"/>
  <c r="F320" i="3"/>
  <c r="S320" i="3" s="1"/>
  <c r="F319" i="3"/>
  <c r="S319" i="3" s="1"/>
  <c r="F317" i="3"/>
  <c r="S317" i="3" s="1"/>
  <c r="F312" i="3"/>
  <c r="S312" i="3" s="1"/>
  <c r="F311" i="3"/>
  <c r="S311" i="3" s="1"/>
  <c r="F310" i="3"/>
  <c r="S310" i="3" s="1"/>
  <c r="F309" i="3"/>
  <c r="S309" i="3" s="1"/>
  <c r="F308" i="3"/>
  <c r="S308" i="3" s="1"/>
  <c r="F307" i="3"/>
  <c r="S307" i="3" s="1"/>
  <c r="F306" i="3"/>
  <c r="S306" i="3" s="1"/>
  <c r="F305" i="3"/>
  <c r="S305" i="3" s="1"/>
  <c r="F304" i="3"/>
  <c r="S304" i="3" s="1"/>
  <c r="F303" i="3"/>
  <c r="S303" i="3" s="1"/>
  <c r="F302" i="3"/>
  <c r="S302" i="3" s="1"/>
  <c r="F301" i="3"/>
  <c r="S301" i="3" s="1"/>
  <c r="F300" i="3"/>
  <c r="S300" i="3" s="1"/>
  <c r="F299" i="3"/>
  <c r="S299" i="3" s="1"/>
  <c r="F298" i="3"/>
  <c r="S298" i="3" s="1"/>
  <c r="F297" i="3"/>
  <c r="S297" i="3" s="1"/>
  <c r="F296" i="3"/>
  <c r="S296" i="3" s="1"/>
  <c r="F295" i="3"/>
  <c r="S295" i="3" s="1"/>
  <c r="F294" i="3"/>
  <c r="S294" i="3" s="1"/>
  <c r="F292" i="3"/>
  <c r="S292" i="3" s="1"/>
  <c r="F290" i="3"/>
  <c r="S290" i="3" s="1"/>
  <c r="F289" i="3"/>
  <c r="S289" i="3" s="1"/>
  <c r="F288" i="3"/>
  <c r="S288" i="3" s="1"/>
  <c r="F287" i="3"/>
  <c r="S287" i="3" s="1"/>
  <c r="F286" i="3"/>
  <c r="S286" i="3" s="1"/>
  <c r="F285" i="3"/>
  <c r="S285" i="3" s="1"/>
  <c r="F284" i="3"/>
  <c r="S284" i="3" s="1"/>
  <c r="F283" i="3"/>
  <c r="S283" i="3" s="1"/>
  <c r="F282" i="3"/>
  <c r="S282" i="3" s="1"/>
  <c r="F281" i="3"/>
  <c r="S281" i="3" s="1"/>
  <c r="F280" i="3"/>
  <c r="S280" i="3" s="1"/>
  <c r="F278" i="3"/>
  <c r="S278" i="3" s="1"/>
  <c r="F277" i="3"/>
  <c r="S277" i="3" s="1"/>
  <c r="F276" i="3"/>
  <c r="S276" i="3" s="1"/>
  <c r="F275" i="3"/>
  <c r="S275" i="3" s="1"/>
  <c r="F274" i="3"/>
  <c r="S274" i="3" s="1"/>
  <c r="F273" i="3"/>
  <c r="S273" i="3" s="1"/>
  <c r="F272" i="3"/>
  <c r="S272" i="3" s="1"/>
  <c r="F271" i="3"/>
  <c r="S271" i="3" s="1"/>
  <c r="F270" i="3"/>
  <c r="S270" i="3" s="1"/>
  <c r="F269" i="3"/>
  <c r="S269" i="3" s="1"/>
  <c r="F264" i="3"/>
  <c r="S264" i="3" s="1"/>
  <c r="F263" i="3"/>
  <c r="S263" i="3" s="1"/>
  <c r="F262" i="3"/>
  <c r="S262" i="3" s="1"/>
  <c r="F260" i="3"/>
  <c r="S260" i="3" s="1"/>
  <c r="F259" i="3"/>
  <c r="S259" i="3" s="1"/>
  <c r="F258" i="3"/>
  <c r="S258" i="3" s="1"/>
  <c r="F257" i="3"/>
  <c r="S257" i="3" s="1"/>
  <c r="F256" i="3"/>
  <c r="S256" i="3" s="1"/>
  <c r="F255" i="3"/>
  <c r="S255" i="3" s="1"/>
  <c r="F254" i="3"/>
  <c r="S254" i="3" s="1"/>
  <c r="F253" i="3"/>
  <c r="S253" i="3" s="1"/>
  <c r="F252" i="3"/>
  <c r="S252" i="3" s="1"/>
  <c r="F251" i="3"/>
  <c r="S251" i="3" s="1"/>
  <c r="F249" i="3"/>
  <c r="S249" i="3" s="1"/>
  <c r="F248" i="3"/>
  <c r="S248" i="3" s="1"/>
  <c r="F247" i="3"/>
  <c r="S247" i="3" s="1"/>
  <c r="F246" i="3"/>
  <c r="S246" i="3" s="1"/>
  <c r="F244" i="3"/>
  <c r="S244" i="3" s="1"/>
  <c r="F243" i="3"/>
  <c r="S243" i="3" s="1"/>
  <c r="F242" i="3"/>
  <c r="S242" i="3" s="1"/>
  <c r="F241" i="3"/>
  <c r="S241" i="3" s="1"/>
  <c r="F240" i="3"/>
  <c r="S240" i="3" s="1"/>
  <c r="F239" i="3"/>
  <c r="S239" i="3" s="1"/>
  <c r="F238" i="3"/>
  <c r="S238" i="3" s="1"/>
  <c r="F237" i="3"/>
  <c r="S237" i="3" s="1"/>
  <c r="F236" i="3"/>
  <c r="S236" i="3" s="1"/>
  <c r="F235" i="3"/>
  <c r="S235" i="3" s="1"/>
  <c r="F234" i="3"/>
  <c r="S234" i="3" s="1"/>
  <c r="F232" i="3"/>
  <c r="S232" i="3" s="1"/>
  <c r="F231" i="3"/>
  <c r="S231" i="3" s="1"/>
  <c r="F229" i="3"/>
  <c r="S229" i="3" s="1"/>
  <c r="F228" i="3"/>
  <c r="S228" i="3" s="1"/>
  <c r="F227" i="3"/>
  <c r="S227" i="3" s="1"/>
  <c r="F225" i="3"/>
  <c r="S225" i="3" s="1"/>
  <c r="F224" i="3"/>
  <c r="S224" i="3" s="1"/>
  <c r="F223" i="3"/>
  <c r="S223" i="3" s="1"/>
  <c r="F222" i="3"/>
  <c r="S222" i="3" s="1"/>
  <c r="F221" i="3"/>
  <c r="S221" i="3" s="1"/>
  <c r="F220" i="3"/>
  <c r="S220" i="3" s="1"/>
  <c r="F219" i="3"/>
  <c r="S219" i="3" s="1"/>
  <c r="F218" i="3"/>
  <c r="S218" i="3" s="1"/>
  <c r="F217" i="3"/>
  <c r="S217" i="3" s="1"/>
  <c r="F216" i="3"/>
  <c r="S216" i="3" s="1"/>
  <c r="F215" i="3"/>
  <c r="S215" i="3" s="1"/>
  <c r="F214" i="3"/>
  <c r="S214" i="3" s="1"/>
  <c r="F213" i="3"/>
  <c r="S213" i="3" s="1"/>
  <c r="F212" i="3"/>
  <c r="S212" i="3" s="1"/>
  <c r="F210" i="3"/>
  <c r="S210" i="3" s="1"/>
  <c r="F209" i="3"/>
  <c r="S209" i="3" s="1"/>
  <c r="F208" i="3"/>
  <c r="S208" i="3" s="1"/>
  <c r="F207" i="3"/>
  <c r="S207" i="3" s="1"/>
  <c r="F204" i="3"/>
  <c r="S204" i="3" s="1"/>
  <c r="F202" i="3"/>
  <c r="S202" i="3" s="1"/>
  <c r="F201" i="3"/>
  <c r="S201" i="3" s="1"/>
  <c r="F200" i="3"/>
  <c r="S200" i="3" s="1"/>
  <c r="F199" i="3"/>
  <c r="S199" i="3" s="1"/>
  <c r="F198" i="3"/>
  <c r="S198" i="3" s="1"/>
  <c r="F197" i="3"/>
  <c r="S197" i="3" s="1"/>
  <c r="F196" i="3"/>
  <c r="S196" i="3" s="1"/>
  <c r="F194" i="3"/>
  <c r="S194" i="3" s="1"/>
  <c r="F187" i="3"/>
  <c r="S187" i="3" s="1"/>
  <c r="F185" i="3"/>
  <c r="S185" i="3" s="1"/>
  <c r="F183" i="3"/>
  <c r="S183" i="3" s="1"/>
  <c r="F181" i="3"/>
  <c r="S181" i="3" s="1"/>
  <c r="F174" i="3"/>
  <c r="S174" i="3" s="1"/>
  <c r="F172" i="3"/>
  <c r="S172" i="3" s="1"/>
  <c r="F170" i="3"/>
  <c r="S170" i="3" s="1"/>
  <c r="F168" i="3"/>
  <c r="S168" i="3" s="1"/>
  <c r="F160" i="3"/>
  <c r="S160" i="3" s="1"/>
  <c r="F156" i="3"/>
  <c r="S156" i="3" s="1"/>
  <c r="F153" i="3"/>
  <c r="S153" i="3" s="1"/>
  <c r="F152" i="3"/>
  <c r="S152" i="3" s="1"/>
  <c r="F147" i="3"/>
  <c r="S147" i="3" s="1"/>
  <c r="F145" i="3"/>
  <c r="S145" i="3" s="1"/>
  <c r="F144" i="3"/>
  <c r="S144" i="3" s="1"/>
  <c r="F143" i="3"/>
  <c r="S143" i="3" s="1"/>
  <c r="F133" i="3"/>
  <c r="S133" i="3" s="1"/>
  <c r="F132" i="3"/>
  <c r="S132" i="3" s="1"/>
  <c r="F131" i="3"/>
  <c r="S131" i="3" s="1"/>
  <c r="F129" i="3"/>
  <c r="S129" i="3" s="1"/>
  <c r="F128" i="3"/>
  <c r="S128" i="3" s="1"/>
  <c r="F122" i="3"/>
  <c r="S122" i="3" s="1"/>
  <c r="F117" i="3"/>
  <c r="S117" i="3" s="1"/>
  <c r="F116" i="3"/>
  <c r="S116" i="3" s="1"/>
  <c r="F115" i="3"/>
  <c r="S115" i="3" s="1"/>
  <c r="F113" i="3"/>
  <c r="S113" i="3" s="1"/>
  <c r="F111" i="3"/>
  <c r="S111" i="3" s="1"/>
  <c r="F110" i="3"/>
  <c r="S110" i="3" s="1"/>
  <c r="F108" i="3"/>
  <c r="S108" i="3" s="1"/>
  <c r="F106" i="3"/>
  <c r="S106" i="3" s="1"/>
  <c r="F105" i="3"/>
  <c r="S105" i="3" s="1"/>
  <c r="F100" i="3"/>
  <c r="S100" i="3" s="1"/>
  <c r="F99" i="3"/>
  <c r="S99" i="3" s="1"/>
  <c r="F98" i="3"/>
  <c r="S98" i="3" s="1"/>
  <c r="F95" i="3"/>
  <c r="S95" i="3" s="1"/>
  <c r="F93" i="3"/>
  <c r="S93" i="3" s="1"/>
  <c r="F92" i="3"/>
  <c r="S92" i="3" s="1"/>
  <c r="F90" i="3"/>
  <c r="S90" i="3" s="1"/>
  <c r="F89" i="3"/>
  <c r="S89" i="3" s="1"/>
  <c r="F88" i="3"/>
  <c r="S88" i="3" s="1"/>
  <c r="F87" i="3"/>
  <c r="S87" i="3" s="1"/>
  <c r="F76" i="3"/>
  <c r="S76" i="3" s="1"/>
  <c r="F74" i="3"/>
  <c r="S74" i="3" s="1"/>
  <c r="F68" i="3"/>
  <c r="S68" i="3" s="1"/>
  <c r="F64" i="3"/>
  <c r="S64" i="3" s="1"/>
  <c r="F63" i="3"/>
  <c r="S63" i="3" s="1"/>
  <c r="F62" i="3"/>
  <c r="S62" i="3" s="1"/>
  <c r="F57" i="3"/>
  <c r="S57" i="3" s="1"/>
  <c r="F56" i="3"/>
  <c r="S56" i="3" s="1"/>
  <c r="F55" i="3"/>
  <c r="S55" i="3" s="1"/>
  <c r="F43" i="3"/>
  <c r="S43" i="3" s="1"/>
  <c r="F41" i="3"/>
  <c r="S41" i="3" s="1"/>
  <c r="F20" i="3"/>
  <c r="S20" i="3" s="1"/>
  <c r="F21" i="3"/>
  <c r="S21" i="3" s="1"/>
  <c r="F22" i="3"/>
  <c r="S22" i="3" s="1"/>
  <c r="F23" i="3"/>
  <c r="S23" i="3" s="1"/>
  <c r="F24" i="3"/>
  <c r="S24" i="3" s="1"/>
  <c r="F25" i="3"/>
  <c r="S25" i="3" s="1"/>
  <c r="F26" i="3"/>
  <c r="S26" i="3" s="1"/>
  <c r="F27" i="3"/>
  <c r="S27" i="3" s="1"/>
  <c r="F29" i="3"/>
  <c r="S29" i="3" s="1"/>
  <c r="F33" i="3"/>
  <c r="S33" i="3" s="1"/>
  <c r="F47" i="3"/>
  <c r="S47" i="3" s="1"/>
  <c r="F45" i="3"/>
  <c r="S45" i="3" s="1"/>
  <c r="F15" i="3"/>
  <c r="S15" i="3" s="1"/>
  <c r="F13" i="3"/>
  <c r="S13" i="3" s="1"/>
  <c r="F12" i="3"/>
  <c r="S12" i="3" s="1"/>
  <c r="F11" i="3"/>
  <c r="S11" i="3" s="1"/>
  <c r="F10" i="3"/>
  <c r="S10" i="3" s="1"/>
  <c r="F9" i="3"/>
  <c r="S9" i="3" s="1"/>
  <c r="F8" i="3"/>
  <c r="S8" i="3" s="1"/>
  <c r="F245" i="3"/>
  <c r="S245" i="3" s="1"/>
  <c r="F80" i="3"/>
  <c r="S80" i="3" s="1"/>
  <c r="M690" i="3"/>
  <c r="O690" i="3"/>
  <c r="Q690" i="3"/>
  <c r="F177" i="3"/>
  <c r="S177" i="3" s="1"/>
  <c r="F489" i="3"/>
  <c r="S489" i="3" s="1"/>
  <c r="F440" i="3"/>
  <c r="S440" i="3" s="1"/>
  <c r="F404" i="3"/>
  <c r="S404" i="3" s="1"/>
  <c r="F757" i="3"/>
  <c r="S757" i="3" s="1"/>
  <c r="F59" i="3" l="1"/>
  <c r="S59" i="3" s="1"/>
  <c r="F428" i="3"/>
  <c r="S428" i="3" s="1"/>
  <c r="F878" i="3"/>
  <c r="S878" i="3" s="1"/>
  <c r="F872" i="3"/>
  <c r="S872" i="3" s="1"/>
  <c r="F849" i="3"/>
  <c r="S849" i="3" s="1"/>
  <c r="F731" i="3"/>
  <c r="S731" i="3" s="1"/>
  <c r="F475" i="3"/>
  <c r="S475" i="3" s="1"/>
  <c r="H469" i="3"/>
  <c r="F888" i="3"/>
  <c r="S888" i="3" s="1"/>
  <c r="L469" i="3"/>
  <c r="L479" i="3" s="1"/>
  <c r="L531" i="3" s="1"/>
  <c r="P469" i="3"/>
  <c r="P479" i="3" s="1"/>
  <c r="P531" i="3" s="1"/>
  <c r="J455" i="3"/>
  <c r="N455" i="3"/>
  <c r="N469" i="3" s="1"/>
  <c r="R455" i="3"/>
  <c r="H733" i="3"/>
  <c r="H742" i="3" s="1"/>
  <c r="H751" i="3" s="1"/>
  <c r="H70" i="3"/>
  <c r="H82" i="3" s="1"/>
  <c r="F724" i="3"/>
  <c r="S724" i="3" s="1"/>
  <c r="N163" i="3"/>
  <c r="F701" i="3"/>
  <c r="S701" i="3" s="1"/>
  <c r="F416" i="3"/>
  <c r="S416" i="3" s="1"/>
  <c r="F377" i="3"/>
  <c r="S377" i="3" s="1"/>
  <c r="F859" i="3"/>
  <c r="S859" i="3" s="1"/>
  <c r="S357" i="3"/>
  <c r="R163" i="3"/>
  <c r="L163" i="3"/>
  <c r="J733" i="3"/>
  <c r="F189" i="3"/>
  <c r="S189" i="3" s="1"/>
  <c r="F158" i="3"/>
  <c r="S158" i="3" s="1"/>
  <c r="F135" i="3"/>
  <c r="S135" i="3" s="1"/>
  <c r="F50" i="3"/>
  <c r="S50" i="3" s="1"/>
  <c r="F17" i="3"/>
  <c r="S17" i="3" s="1"/>
  <c r="N733" i="3"/>
  <c r="F389" i="3"/>
  <c r="S389" i="3" s="1"/>
  <c r="F945" i="3"/>
  <c r="S945" i="3" s="1"/>
  <c r="L36" i="3"/>
  <c r="J163" i="3"/>
  <c r="R70" i="3"/>
  <c r="R82" i="3" s="1"/>
  <c r="R102" i="3" s="1"/>
  <c r="F902" i="3"/>
  <c r="S902" i="3" s="1"/>
  <c r="H479" i="3"/>
  <c r="F125" i="3"/>
  <c r="S125" i="3" s="1"/>
  <c r="F455" i="3"/>
  <c r="L733" i="3"/>
  <c r="L742" i="3" s="1"/>
  <c r="L751" i="3" s="1"/>
  <c r="P163" i="3"/>
  <c r="P394" i="3"/>
  <c r="P733" i="3"/>
  <c r="P742" i="3" s="1"/>
  <c r="P751" i="3" s="1"/>
  <c r="H394" i="3"/>
  <c r="P70" i="3"/>
  <c r="P82" i="3" s="1"/>
  <c r="P102" i="3" s="1"/>
  <c r="N70" i="3"/>
  <c r="N82" i="3" s="1"/>
  <c r="N102" i="3" s="1"/>
  <c r="F66" i="3"/>
  <c r="S66" i="3" s="1"/>
  <c r="L394" i="3"/>
  <c r="N394" i="3"/>
  <c r="R394" i="3"/>
  <c r="H36" i="3"/>
  <c r="J36" i="3"/>
  <c r="P779" i="3"/>
  <c r="P813" i="3" s="1"/>
  <c r="P910" i="3" s="1"/>
  <c r="P931" i="3" s="1"/>
  <c r="R733" i="3"/>
  <c r="F711" i="3"/>
  <c r="S711" i="3" s="1"/>
  <c r="J394" i="3"/>
  <c r="F149" i="3"/>
  <c r="S149" i="3" s="1"/>
  <c r="H163" i="3"/>
  <c r="L70" i="3"/>
  <c r="L82" i="3" s="1"/>
  <c r="L102" i="3" s="1"/>
  <c r="J70" i="3"/>
  <c r="J82" i="3" s="1"/>
  <c r="J102" i="3" s="1"/>
  <c r="F31" i="3"/>
  <c r="P36" i="3"/>
  <c r="R36" i="3"/>
  <c r="H779" i="3" l="1"/>
  <c r="N479" i="3"/>
  <c r="N531" i="3" s="1"/>
  <c r="F733" i="3"/>
  <c r="L779" i="3"/>
  <c r="L813" i="3" s="1"/>
  <c r="L910" i="3" s="1"/>
  <c r="L931" i="3" s="1"/>
  <c r="S455" i="3"/>
  <c r="P937" i="3"/>
  <c r="P621" i="3"/>
  <c r="P651" i="3" s="1"/>
  <c r="L937" i="3"/>
  <c r="P690" i="3"/>
  <c r="L621" i="3"/>
  <c r="J119" i="3"/>
  <c r="F163" i="3"/>
  <c r="S163" i="3" s="1"/>
  <c r="J137" i="3"/>
  <c r="P119" i="3"/>
  <c r="P137" i="3" s="1"/>
  <c r="R119" i="3"/>
  <c r="R137" i="3" s="1"/>
  <c r="H102" i="3"/>
  <c r="F82" i="3"/>
  <c r="S82" i="3" s="1"/>
  <c r="N621" i="3"/>
  <c r="N651" i="3" s="1"/>
  <c r="H531" i="3"/>
  <c r="R469" i="3"/>
  <c r="J469" i="3"/>
  <c r="L119" i="3"/>
  <c r="R742" i="3"/>
  <c r="R751" i="3" s="1"/>
  <c r="N119" i="3"/>
  <c r="N137" i="3" s="1"/>
  <c r="N742" i="3"/>
  <c r="N751" i="3" s="1"/>
  <c r="J742" i="3"/>
  <c r="F867" i="3"/>
  <c r="S867" i="3" s="1"/>
  <c r="F830" i="3"/>
  <c r="S830" i="3" s="1"/>
  <c r="F36" i="3"/>
  <c r="S36" i="3" s="1"/>
  <c r="S31" i="3"/>
  <c r="S733" i="3"/>
  <c r="F394" i="3"/>
  <c r="S394" i="3" s="1"/>
  <c r="F70" i="3"/>
  <c r="S70" i="3" s="1"/>
  <c r="H813" i="3" l="1"/>
  <c r="H910" i="3" s="1"/>
  <c r="H931" i="3" s="1"/>
  <c r="P692" i="3"/>
  <c r="R779" i="3"/>
  <c r="R813" i="3" s="1"/>
  <c r="R910" i="3" s="1"/>
  <c r="R931" i="3" s="1"/>
  <c r="N266" i="3"/>
  <c r="N314" i="3" s="1"/>
  <c r="N326" i="3" s="1"/>
  <c r="L137" i="3"/>
  <c r="L266" i="3" s="1"/>
  <c r="L314" i="3" s="1"/>
  <c r="L326" i="3" s="1"/>
  <c r="J266" i="3"/>
  <c r="N779" i="3"/>
  <c r="N813" i="3" s="1"/>
  <c r="N910" i="3" s="1"/>
  <c r="N931" i="3" s="1"/>
  <c r="R621" i="3"/>
  <c r="R690" i="3" s="1"/>
  <c r="R479" i="3"/>
  <c r="R531" i="3" s="1"/>
  <c r="F469" i="3"/>
  <c r="S469" i="3" s="1"/>
  <c r="J479" i="3"/>
  <c r="R651" i="3"/>
  <c r="J314" i="3"/>
  <c r="J326" i="3" s="1"/>
  <c r="N937" i="3"/>
  <c r="J751" i="3"/>
  <c r="F751" i="3" s="1"/>
  <c r="S751" i="3" s="1"/>
  <c r="F742" i="3"/>
  <c r="S742" i="3" s="1"/>
  <c r="R937" i="3"/>
  <c r="H119" i="3"/>
  <c r="F119" i="3" s="1"/>
  <c r="S119" i="3" s="1"/>
  <c r="F102" i="3"/>
  <c r="S102" i="3" s="1"/>
  <c r="R266" i="3"/>
  <c r="P266" i="3"/>
  <c r="L651" i="3"/>
  <c r="L690" i="3" s="1"/>
  <c r="L692" i="3" s="1"/>
  <c r="N690" i="3"/>
  <c r="N692" i="3" s="1"/>
  <c r="H621" i="3"/>
  <c r="H651" i="3" s="1"/>
  <c r="H137" i="3" l="1"/>
  <c r="R692" i="3"/>
  <c r="J531" i="3"/>
  <c r="F531" i="3" s="1"/>
  <c r="S531" i="3" s="1"/>
  <c r="F479" i="3"/>
  <c r="S479" i="3" s="1"/>
  <c r="J779" i="3"/>
  <c r="H937" i="3"/>
  <c r="R314" i="3"/>
  <c r="H266" i="3"/>
  <c r="N344" i="3"/>
  <c r="N347" i="3" s="1"/>
  <c r="H690" i="3"/>
  <c r="J344" i="3"/>
  <c r="J347" i="3" s="1"/>
  <c r="L344" i="3"/>
  <c r="L347" i="3" s="1"/>
  <c r="P314" i="3"/>
  <c r="P326" i="3" s="1"/>
  <c r="P344" i="3" s="1"/>
  <c r="P347" i="3" s="1"/>
  <c r="F137" i="3" l="1"/>
  <c r="S137" i="3" s="1"/>
  <c r="J621" i="3"/>
  <c r="J813" i="3"/>
  <c r="F779" i="3"/>
  <c r="S779" i="3" s="1"/>
  <c r="H692" i="3"/>
  <c r="F266" i="3"/>
  <c r="S266" i="3" s="1"/>
  <c r="H314" i="3"/>
  <c r="F314" i="3" s="1"/>
  <c r="S314" i="3" s="1"/>
  <c r="R326" i="3"/>
  <c r="R344" i="3" s="1"/>
  <c r="R347" i="3" s="1"/>
  <c r="F621" i="3" l="1"/>
  <c r="S621" i="3" s="1"/>
  <c r="J651" i="3"/>
  <c r="F651" i="3" s="1"/>
  <c r="S651" i="3" s="1"/>
  <c r="J690" i="3"/>
  <c r="J910" i="3"/>
  <c r="F813" i="3"/>
  <c r="S813" i="3" s="1"/>
  <c r="H326" i="3"/>
  <c r="F326" i="3" s="1"/>
  <c r="S326" i="3" s="1"/>
  <c r="H344" i="3"/>
  <c r="J692" i="3" l="1"/>
  <c r="F692" i="3" s="1"/>
  <c r="S692" i="3" s="1"/>
  <c r="F690" i="3"/>
  <c r="S690" i="3" s="1"/>
  <c r="J931" i="3"/>
  <c r="F910" i="3"/>
  <c r="S910" i="3" s="1"/>
  <c r="F344" i="3"/>
  <c r="S344" i="3" s="1"/>
  <c r="H347" i="3"/>
  <c r="F347" i="3" l="1"/>
  <c r="S347" i="3" s="1"/>
  <c r="H959" i="3"/>
  <c r="H965" i="3" s="1"/>
  <c r="F931" i="3"/>
  <c r="S931" i="3" s="1"/>
  <c r="J937" i="3"/>
  <c r="F937" i="3" s="1"/>
  <c r="S937" i="3" s="1"/>
  <c r="P959" i="3"/>
  <c r="N959" i="3"/>
  <c r="N965" i="3" s="1"/>
  <c r="L959" i="3"/>
  <c r="J959" i="3"/>
  <c r="R959" i="3"/>
  <c r="J965" i="3" l="1"/>
  <c r="P965" i="3"/>
  <c r="R965" i="3"/>
  <c r="L965" i="3"/>
  <c r="F956" i="3"/>
  <c r="S956" i="3" s="1"/>
  <c r="F959" i="3" l="1"/>
  <c r="S959" i="3" s="1"/>
  <c r="F965" i="3" l="1"/>
  <c r="S965" i="3" l="1"/>
</calcChain>
</file>

<file path=xl/sharedStrings.xml><?xml version="1.0" encoding="utf-8"?>
<sst xmlns="http://schemas.openxmlformats.org/spreadsheetml/2006/main" count="783" uniqueCount="486">
  <si>
    <t>Current Funds</t>
  </si>
  <si>
    <t>Distribution</t>
  </si>
  <si>
    <t>Total</t>
  </si>
  <si>
    <t>Unrestricted</t>
  </si>
  <si>
    <t>Restricted</t>
  </si>
  <si>
    <t>Salaries and Wages</t>
  </si>
  <si>
    <t>Other Expenditures</t>
  </si>
  <si>
    <t>Less: Transfers</t>
  </si>
  <si>
    <t>General</t>
  </si>
  <si>
    <t>Designated</t>
  </si>
  <si>
    <t xml:space="preserve">AGRICULTURAL EXPERIMENT </t>
  </si>
  <si>
    <t>STATION</t>
  </si>
  <si>
    <t>INSTRUCTION</t>
  </si>
  <si>
    <t>Agricultural resource economics</t>
  </si>
  <si>
    <t>CNR dean research and extension</t>
  </si>
  <si>
    <t>Ecosystem sciences</t>
  </si>
  <si>
    <t>Insect biology</t>
  </si>
  <si>
    <t>Microbial biology</t>
  </si>
  <si>
    <t xml:space="preserve">Nutritional sciences </t>
  </si>
  <si>
    <t>Plant biology</t>
  </si>
  <si>
    <t>Resource institutions, policy and</t>
  </si>
  <si>
    <t xml:space="preserve"> </t>
  </si>
  <si>
    <t xml:space="preserve"> management</t>
  </si>
  <si>
    <t>RESEARCH</t>
  </si>
  <si>
    <t>Forestry center</t>
  </si>
  <si>
    <t>PUBLIC SERVICE</t>
  </si>
  <si>
    <t>Total Agricultural Experiment</t>
  </si>
  <si>
    <t xml:space="preserve"> Station</t>
  </si>
  <si>
    <t xml:space="preserve">SCHOOL OF BUSINESS </t>
  </si>
  <si>
    <t>ADMINISTRATION</t>
  </si>
  <si>
    <t>ACADEMIC SUPPORT</t>
  </si>
  <si>
    <t>Total School of Business</t>
  </si>
  <si>
    <t xml:space="preserve"> Administration</t>
  </si>
  <si>
    <t>COLLEGE OF CHEMISTRY</t>
  </si>
  <si>
    <t>Chemical engineering</t>
  </si>
  <si>
    <t>Chemistry</t>
  </si>
  <si>
    <t>Dean's office</t>
  </si>
  <si>
    <t>Total College of Chemistry</t>
  </si>
  <si>
    <t>SCHOOL OF EDUCATION</t>
  </si>
  <si>
    <t>Total School of Education</t>
  </si>
  <si>
    <t>COLLEGE OF ENGINEERING</t>
  </si>
  <si>
    <t>Bioengineering</t>
  </si>
  <si>
    <t>Civil and environmental engineering</t>
  </si>
  <si>
    <t>Earthquake engineering research ctr</t>
  </si>
  <si>
    <t>Electrical engineering and computer</t>
  </si>
  <si>
    <t>science</t>
  </si>
  <si>
    <t>Engineering research</t>
  </si>
  <si>
    <t>Industrial engineering and operations</t>
  </si>
  <si>
    <t>research</t>
  </si>
  <si>
    <t>Materials science and engineering</t>
  </si>
  <si>
    <t xml:space="preserve">Mechanical engineering </t>
  </si>
  <si>
    <t>Nuclear engineering</t>
  </si>
  <si>
    <t>Earthquake engineering research center</t>
  </si>
  <si>
    <t>Institute for environment science</t>
  </si>
  <si>
    <t>and engineering</t>
  </si>
  <si>
    <t>Mechanical engineering</t>
  </si>
  <si>
    <t xml:space="preserve">Total </t>
  </si>
  <si>
    <t>Total College of Engineering</t>
  </si>
  <si>
    <t xml:space="preserve">COLLEGE OF ENVIRONMENTAL </t>
  </si>
  <si>
    <t>DESIGN</t>
  </si>
  <si>
    <t>Architecture</t>
  </si>
  <si>
    <t>City and regional planning</t>
  </si>
  <si>
    <t xml:space="preserve">Landscape architecture and </t>
  </si>
  <si>
    <t>environmental planning</t>
  </si>
  <si>
    <t>Total College of Environmental</t>
  </si>
  <si>
    <t xml:space="preserve"> Design</t>
  </si>
  <si>
    <t xml:space="preserve">GRADUATE SCHOOL OF </t>
  </si>
  <si>
    <t>JOURNALISM</t>
  </si>
  <si>
    <t>Total Graduate School of</t>
  </si>
  <si>
    <t xml:space="preserve"> Journalism</t>
  </si>
  <si>
    <t>SCHOOL OF LAW</t>
  </si>
  <si>
    <t>Total School of Law</t>
  </si>
  <si>
    <t>COLLEGE OF LETTERS AND SCIENCE</t>
  </si>
  <si>
    <t>African American studies</t>
  </si>
  <si>
    <t>Ancient history and mediterranean</t>
  </si>
  <si>
    <t>archaeology</t>
  </si>
  <si>
    <t>Anthropology</t>
  </si>
  <si>
    <t>Arts and humanities dean's office</t>
  </si>
  <si>
    <t>Art history</t>
  </si>
  <si>
    <t>Art practice</t>
  </si>
  <si>
    <t>Astronomy</t>
  </si>
  <si>
    <t>Biological sciences dean's office</t>
  </si>
  <si>
    <t>CASMA</t>
  </si>
  <si>
    <t>Center for new music and audio</t>
  </si>
  <si>
    <t>technologies</t>
  </si>
  <si>
    <t>Center for particle astrophysics</t>
  </si>
  <si>
    <t>Classics</t>
  </si>
  <si>
    <t>College writing programs</t>
  </si>
  <si>
    <t>Comparative literature</t>
  </si>
  <si>
    <t>Comparative literature and French</t>
  </si>
  <si>
    <t>administration</t>
  </si>
  <si>
    <t>Demography</t>
  </si>
  <si>
    <t>Dramatic art</t>
  </si>
  <si>
    <t>Earth and planetary science</t>
  </si>
  <si>
    <t>East Asian languages</t>
  </si>
  <si>
    <t xml:space="preserve">Economics </t>
  </si>
  <si>
    <t>Electron microscope laboratory</t>
  </si>
  <si>
    <t>English</t>
  </si>
  <si>
    <t>Ethnic studies</t>
  </si>
  <si>
    <t>Film studies</t>
  </si>
  <si>
    <t>French</t>
  </si>
  <si>
    <t>Geography</t>
  </si>
  <si>
    <t>German</t>
  </si>
  <si>
    <t>German, Spanish and Portuguese</t>
  </si>
  <si>
    <t>History</t>
  </si>
  <si>
    <t xml:space="preserve">Integrative biology </t>
  </si>
  <si>
    <t>International and area studies</t>
  </si>
  <si>
    <t>teaching program</t>
  </si>
  <si>
    <t>Italian studies</t>
  </si>
  <si>
    <t>Italian/Scandinavian/Slavic</t>
  </si>
  <si>
    <t>Jewish studies</t>
  </si>
  <si>
    <t>Language center</t>
  </si>
  <si>
    <t xml:space="preserve">Linguistics </t>
  </si>
  <si>
    <t>Mathematics</t>
  </si>
  <si>
    <t>Medieval studies</t>
  </si>
  <si>
    <t>Molecular and cell biology</t>
  </si>
  <si>
    <t>Music</t>
  </si>
  <si>
    <t>Near Eastern studies</t>
  </si>
  <si>
    <t>Philosophy</t>
  </si>
  <si>
    <t>Physical education program</t>
  </si>
  <si>
    <t>Physical sciences dean's office</t>
  </si>
  <si>
    <t>Physics</t>
  </si>
  <si>
    <t>Political science</t>
  </si>
  <si>
    <t>Psychology</t>
  </si>
  <si>
    <t>Rhetoric</t>
  </si>
  <si>
    <t>Rhetoric and film studies</t>
  </si>
  <si>
    <t>ROTC military affairs</t>
  </si>
  <si>
    <t>Scandinavian languages</t>
  </si>
  <si>
    <t>Slavic languages and literature</t>
  </si>
  <si>
    <t>Social sciences dean's office</t>
  </si>
  <si>
    <t>Sociology</t>
  </si>
  <si>
    <t>South and Southeast Asian studies</t>
  </si>
  <si>
    <t>Spanish and Portuguese</t>
  </si>
  <si>
    <t>Statistics</t>
  </si>
  <si>
    <t>Undergraduate advising</t>
  </si>
  <si>
    <t>Undergraduate and interdisciplinary</t>
  </si>
  <si>
    <t>studies dean's office</t>
  </si>
  <si>
    <t>Valley life sciences building</t>
  </si>
  <si>
    <t>Women's studies</t>
  </si>
  <si>
    <t>East Asian languages and culture</t>
  </si>
  <si>
    <t>Economics</t>
  </si>
  <si>
    <t>Integrative biology</t>
  </si>
  <si>
    <t>Linguistics</t>
  </si>
  <si>
    <t xml:space="preserve">Music </t>
  </si>
  <si>
    <t xml:space="preserve">Philosophy </t>
  </si>
  <si>
    <t>Townsend center for the humanities</t>
  </si>
  <si>
    <t>Diving control</t>
  </si>
  <si>
    <t xml:space="preserve">Electron microscope laboratory </t>
  </si>
  <si>
    <t>Molecular and cell biology-services</t>
  </si>
  <si>
    <t xml:space="preserve">Total College of Letters and </t>
  </si>
  <si>
    <t xml:space="preserve"> Science</t>
  </si>
  <si>
    <t>SCHOOL OF INFORMATION</t>
  </si>
  <si>
    <t>MANAGEMENT AND SYSTEMS</t>
  </si>
  <si>
    <t xml:space="preserve">Total School of Information </t>
  </si>
  <si>
    <t xml:space="preserve"> Management and systems</t>
  </si>
  <si>
    <t>COLLEGE OF NATURAL RESOURCES</t>
  </si>
  <si>
    <t>Ecosystem science</t>
  </si>
  <si>
    <t>Environmental science, policy, and</t>
  </si>
  <si>
    <t>management</t>
  </si>
  <si>
    <t>Nutritional science and toxicology</t>
  </si>
  <si>
    <t>Plant and microbial biology</t>
  </si>
  <si>
    <t>Plant gene experiment center</t>
  </si>
  <si>
    <t>Toxicology</t>
  </si>
  <si>
    <t>Total College of Natural</t>
  </si>
  <si>
    <t xml:space="preserve"> Resources</t>
  </si>
  <si>
    <t>SCHOOL OF OPTOMETRY</t>
  </si>
  <si>
    <t>Total School of Optometry</t>
  </si>
  <si>
    <t>SCHOOL OF PUBLIC HEALTH</t>
  </si>
  <si>
    <t>Total School of Public Health</t>
  </si>
  <si>
    <t xml:space="preserve">GRADUATE SCHOOL OF PUBLIC </t>
  </si>
  <si>
    <t>POLICY</t>
  </si>
  <si>
    <t>Total Graduate School of Public</t>
  </si>
  <si>
    <t xml:space="preserve"> Policy</t>
  </si>
  <si>
    <t>SCHOOL OF SOCIAL WELFARE</t>
  </si>
  <si>
    <t>Total School of Social Welfare</t>
  </si>
  <si>
    <t>INTERNATIONAL AREA STUDIES</t>
  </si>
  <si>
    <t>Center for African studies</t>
  </si>
  <si>
    <t>Center for Latin American studies</t>
  </si>
  <si>
    <t>Center for Southeast Asian studies</t>
  </si>
  <si>
    <t>Institute of East Asian studies</t>
  </si>
  <si>
    <t>Institute of international studies</t>
  </si>
  <si>
    <t>Middle Eastern studies</t>
  </si>
  <si>
    <t>Slavic and Eastern European studies</t>
  </si>
  <si>
    <t>South Asian studies</t>
  </si>
  <si>
    <t>Institute of European studies</t>
  </si>
  <si>
    <t>Total International Area Studies</t>
  </si>
  <si>
    <t>GRADUATE DIVISION</t>
  </si>
  <si>
    <t>Total Graduate Division</t>
  </si>
  <si>
    <t>SUMMER SESSIONS</t>
  </si>
  <si>
    <t>UNIVERSITY EXTENSION</t>
  </si>
  <si>
    <t>CAMPUS-WIDE PROGRAMS</t>
  </si>
  <si>
    <t>Archeoloical research facility</t>
  </si>
  <si>
    <t>Berkeley seismological laboratory</t>
  </si>
  <si>
    <t xml:space="preserve">Buddhist studies  </t>
  </si>
  <si>
    <t xml:space="preserve">California institute for quantitative </t>
  </si>
  <si>
    <t>biomedical research</t>
  </si>
  <si>
    <t>Cancer research laboratory</t>
  </si>
  <si>
    <t>Center for teaching excellence</t>
  </si>
  <si>
    <t>Center for the tebtunis papyri</t>
  </si>
  <si>
    <t>Emma Goldman papers project</t>
  </si>
  <si>
    <t>Energy and resources group</t>
  </si>
  <si>
    <t>Helen Wills neuroscience institute</t>
  </si>
  <si>
    <t>Institute of government studies</t>
  </si>
  <si>
    <t>Institute of personality and social</t>
  </si>
  <si>
    <t>Museum of vertebrate zoology</t>
  </si>
  <si>
    <t>Other</t>
  </si>
  <si>
    <t>Stem cell center</t>
  </si>
  <si>
    <t>Theoretical astrophysics center</t>
  </si>
  <si>
    <t>Vice provost for academic planning and</t>
  </si>
  <si>
    <t xml:space="preserve"> facilities</t>
  </si>
  <si>
    <t>Compensated absences accrual</t>
  </si>
  <si>
    <t>Educational fee expense proration</t>
  </si>
  <si>
    <t>Academic senate</t>
  </si>
  <si>
    <t>Archeological research facility</t>
  </si>
  <si>
    <t xml:space="preserve">Arts research center  </t>
  </si>
  <si>
    <t>Beatrice M. Bain research group on</t>
  </si>
  <si>
    <t>women and gender</t>
  </si>
  <si>
    <t>Blue oak ranch reserve</t>
  </si>
  <si>
    <t>Blum center for developing economies</t>
  </si>
  <si>
    <t>California institute for energy and</t>
  </si>
  <si>
    <t>environment</t>
  </si>
  <si>
    <t xml:space="preserve">Center for child and youth policy </t>
  </si>
  <si>
    <t>Center for environmental design</t>
  </si>
  <si>
    <t xml:space="preserve">Center for information technology </t>
  </si>
  <si>
    <t xml:space="preserve">research in interest of society </t>
  </si>
  <si>
    <t>Center for integrative planetary</t>
  </si>
  <si>
    <t xml:space="preserve">science  </t>
  </si>
  <si>
    <t xml:space="preserve">Center for pure and applied </t>
  </si>
  <si>
    <t>mathematics</t>
  </si>
  <si>
    <t>Center for studies in higher</t>
  </si>
  <si>
    <t>education</t>
  </si>
  <si>
    <t>Center for the study of law</t>
  </si>
  <si>
    <t>and society</t>
  </si>
  <si>
    <t xml:space="preserve">Center for the study of sexual culture </t>
  </si>
  <si>
    <t xml:space="preserve">Center for the tebtunis papyri </t>
  </si>
  <si>
    <t>Deep underground science and</t>
  </si>
  <si>
    <t xml:space="preserve">   </t>
  </si>
  <si>
    <t>engineering laboratory</t>
  </si>
  <si>
    <t>Donner laboratory</t>
  </si>
  <si>
    <t>Donner region research fields stations</t>
  </si>
  <si>
    <t>Earl Warren legal institute</t>
  </si>
  <si>
    <t>Energy biosciences institute</t>
  </si>
  <si>
    <t>Essig museum of entomology</t>
  </si>
  <si>
    <t>Field station behavioral research</t>
  </si>
  <si>
    <t xml:space="preserve">Functional genomics laboratory  </t>
  </si>
  <si>
    <t>History of science and technology</t>
  </si>
  <si>
    <t xml:space="preserve">Institute for the study of social </t>
  </si>
  <si>
    <t>change</t>
  </si>
  <si>
    <t>Institute of business and economic</t>
  </si>
  <si>
    <t xml:space="preserve"> research</t>
  </si>
  <si>
    <t>Institute of cognitive studies</t>
  </si>
  <si>
    <t>Institute of governmental studies</t>
  </si>
  <si>
    <t>Institute of human development</t>
  </si>
  <si>
    <t>Institute of industrial relations</t>
  </si>
  <si>
    <t>Institute of management, innovation</t>
  </si>
  <si>
    <t>and organization</t>
  </si>
  <si>
    <t>Institute of transportation studies</t>
  </si>
  <si>
    <t xml:space="preserve">Institute of urban and regional </t>
  </si>
  <si>
    <t>development</t>
  </si>
  <si>
    <t>Lawrence hall of science</t>
  </si>
  <si>
    <t>Miller institute for basic research</t>
  </si>
  <si>
    <t>in science</t>
  </si>
  <si>
    <t>Museum of paleontology</t>
  </si>
  <si>
    <t>Nanosciences and nanoengineering</t>
  </si>
  <si>
    <t xml:space="preserve">institute </t>
  </si>
  <si>
    <t>Natural history museum admin services</t>
  </si>
  <si>
    <t>Radio astronomy laboratory</t>
  </si>
  <si>
    <t>Space sciences laboratory</t>
  </si>
  <si>
    <t>Survey research center</t>
  </si>
  <si>
    <t>UC botanical garden</t>
  </si>
  <si>
    <t>UC energy institute</t>
  </si>
  <si>
    <t>UC transportation center</t>
  </si>
  <si>
    <t>University/Jepson herbaria</t>
  </si>
  <si>
    <t>Academic preparation and articulation</t>
  </si>
  <si>
    <t>Admissions and relationships</t>
  </si>
  <si>
    <t>with schools</t>
  </si>
  <si>
    <t>Art museum and Pacific film archive</t>
  </si>
  <si>
    <t>Break the cycle</t>
  </si>
  <si>
    <t>Cal performances</t>
  </si>
  <si>
    <t>Library</t>
  </si>
  <si>
    <t>Museum of palentology</t>
  </si>
  <si>
    <t>University/Jepson Herbaria</t>
  </si>
  <si>
    <t>Work study program</t>
  </si>
  <si>
    <t xml:space="preserve">Academic senate administration </t>
  </si>
  <si>
    <t>Administrative systems</t>
  </si>
  <si>
    <t>Assistant vice provost office</t>
  </si>
  <si>
    <t>Associate vice chancellor IST</t>
  </si>
  <si>
    <t>Cal institute for quantitative biomedical</t>
  </si>
  <si>
    <t xml:space="preserve">Center for race and gender  </t>
  </si>
  <si>
    <t>Central computing services</t>
  </si>
  <si>
    <t>Communication and network services</t>
  </si>
  <si>
    <t>Libraries</t>
  </si>
  <si>
    <t>Museum informatics project</t>
  </si>
  <si>
    <t>Natural history museum</t>
  </si>
  <si>
    <t>administrative services</t>
  </si>
  <si>
    <t>Office of laboratory animal care</t>
  </si>
  <si>
    <t>Office of technology licensing</t>
  </si>
  <si>
    <t>Phoebe Hearst museum of</t>
  </si>
  <si>
    <t>anthropology</t>
  </si>
  <si>
    <t>Social science computing laboratory</t>
  </si>
  <si>
    <t>Strategic technology planning</t>
  </si>
  <si>
    <t>Workstation support services</t>
  </si>
  <si>
    <t>Total Campus-Wide Programs</t>
  </si>
  <si>
    <t>STUDENT SERVICES</t>
  </si>
  <si>
    <t xml:space="preserve">STUDENT SERVICES </t>
  </si>
  <si>
    <t>Undergraduate affairs development</t>
  </si>
  <si>
    <t xml:space="preserve">  </t>
  </si>
  <si>
    <t>office</t>
  </si>
  <si>
    <t xml:space="preserve">SOCIAL AND CULTURAL </t>
  </si>
  <si>
    <t>PROGRAMS</t>
  </si>
  <si>
    <t>Associated students</t>
  </si>
  <si>
    <t>Cultural programs</t>
  </si>
  <si>
    <t>Media services</t>
  </si>
  <si>
    <t>Student musical activities</t>
  </si>
  <si>
    <t>Other social services</t>
  </si>
  <si>
    <t>Academic achievement programs</t>
  </si>
  <si>
    <t>Academic development student</t>
  </si>
  <si>
    <t xml:space="preserve">   groups</t>
  </si>
  <si>
    <t>Child care services</t>
  </si>
  <si>
    <t>Multicultural center</t>
  </si>
  <si>
    <t>New student services</t>
  </si>
  <si>
    <t>Student activities and services</t>
  </si>
  <si>
    <t>Student life advising services</t>
  </si>
  <si>
    <t>Recreational programs</t>
  </si>
  <si>
    <t>Faculty athletic representative</t>
  </si>
  <si>
    <t>Intercollegiate athletics</t>
  </si>
  <si>
    <t>Recreational sports</t>
  </si>
  <si>
    <t>Total Social and Cultural Activities</t>
  </si>
  <si>
    <t xml:space="preserve">SUPPLEMENTARY EDUCATIONAL </t>
  </si>
  <si>
    <t>SERVICES</t>
  </si>
  <si>
    <t>Athletic study center</t>
  </si>
  <si>
    <t>College of engineering dean's office</t>
  </si>
  <si>
    <t>Student learning center</t>
  </si>
  <si>
    <t xml:space="preserve">COUNSELING AND CAREER </t>
  </si>
  <si>
    <t>GUIDANCE</t>
  </si>
  <si>
    <t>Career center</t>
  </si>
  <si>
    <t>Disabled students program</t>
  </si>
  <si>
    <t>Services for international students</t>
  </si>
  <si>
    <t>and scholarship</t>
  </si>
  <si>
    <t>FINANCIAL AID ADMINISTRATION</t>
  </si>
  <si>
    <t>Financial aid operations</t>
  </si>
  <si>
    <t>Graduate division dean</t>
  </si>
  <si>
    <t xml:space="preserve">STUDENT ADMISSIONS AND </t>
  </si>
  <si>
    <t>RECORDS</t>
  </si>
  <si>
    <t xml:space="preserve">Admissions and enrollment </t>
  </si>
  <si>
    <t>immediate office</t>
  </si>
  <si>
    <t>Admissions and relations with</t>
  </si>
  <si>
    <t>schools</t>
  </si>
  <si>
    <t>Office of the registrar</t>
  </si>
  <si>
    <t>STUDENT HEALTH SERVICES</t>
  </si>
  <si>
    <t>OTHER STUDENT SERVICES</t>
  </si>
  <si>
    <t xml:space="preserve">COMPENSATED ABSENCES </t>
  </si>
  <si>
    <t>ACCRUAL</t>
  </si>
  <si>
    <t xml:space="preserve">EDUCATIONAL FEE EXPENSE </t>
  </si>
  <si>
    <t>PRORATION</t>
  </si>
  <si>
    <t>Total Student Services</t>
  </si>
  <si>
    <t>INSTITUTIONAL SUPPORT</t>
  </si>
  <si>
    <t>CHANCELLORS AND</t>
  </si>
  <si>
    <t>VICE CHANCELLORS</t>
  </si>
  <si>
    <t>Academic personnel office</t>
  </si>
  <si>
    <t xml:space="preserve">Business and administrative </t>
  </si>
  <si>
    <t xml:space="preserve">  services immediate office</t>
  </si>
  <si>
    <t>Business and administrative</t>
  </si>
  <si>
    <t xml:space="preserve">  services budget and finance</t>
  </si>
  <si>
    <t>Chancellor</t>
  </si>
  <si>
    <t>Compliance affairs</t>
  </si>
  <si>
    <t xml:space="preserve">Executive vice chancellor and </t>
  </si>
  <si>
    <t xml:space="preserve">   provost</t>
  </si>
  <si>
    <t>Health and human services</t>
  </si>
  <si>
    <t xml:space="preserve">  immediate office</t>
  </si>
  <si>
    <t>Physical and environmental planning</t>
  </si>
  <si>
    <t>Resource development</t>
  </si>
  <si>
    <t>Space management and capital</t>
  </si>
  <si>
    <t xml:space="preserve">  programs</t>
  </si>
  <si>
    <t>Staff ombuds office</t>
  </si>
  <si>
    <t>Vice chancellor budget and finance</t>
  </si>
  <si>
    <t>Vice chancellor budget computing</t>
  </si>
  <si>
    <t>Vice chancellor business and</t>
  </si>
  <si>
    <t xml:space="preserve">  administrative services</t>
  </si>
  <si>
    <t>Vice chancellor equity and inclusion</t>
  </si>
  <si>
    <t>Vice chancellor facilities services</t>
  </si>
  <si>
    <t>Vice chancellor research</t>
  </si>
  <si>
    <t>Vice chancellor university relations</t>
  </si>
  <si>
    <t>Vice provost academic affairs and</t>
  </si>
  <si>
    <t xml:space="preserve"> faculty welfare</t>
  </si>
  <si>
    <t>ACADEMIC SENATE</t>
  </si>
  <si>
    <t>PLANNING AND BUDGETING</t>
  </si>
  <si>
    <t>Budget office</t>
  </si>
  <si>
    <t>Planning and analysis office</t>
  </si>
  <si>
    <t>ACCOUNTING</t>
  </si>
  <si>
    <t>Accounting services</t>
  </si>
  <si>
    <t>Controller immediate office</t>
  </si>
  <si>
    <t>Disbursement office</t>
  </si>
  <si>
    <t>Payroll</t>
  </si>
  <si>
    <t>AUDITS</t>
  </si>
  <si>
    <t>RISK MANAGEMENT</t>
  </si>
  <si>
    <t>CONTRACTS AND GRANTS</t>
  </si>
  <si>
    <t>INFORMATION SYSTEMS</t>
  </si>
  <si>
    <t>COMPUTER CENTERS</t>
  </si>
  <si>
    <t>Information systems technology</t>
  </si>
  <si>
    <t xml:space="preserve">   associate vice chancellor</t>
  </si>
  <si>
    <t>Student information systems</t>
  </si>
  <si>
    <t>ENVIRONMENTAL HEALTH</t>
  </si>
  <si>
    <t>AND SAFETY</t>
  </si>
  <si>
    <t>Environmental health and safety</t>
  </si>
  <si>
    <t>PERSONNEL</t>
  </si>
  <si>
    <t>Human resources</t>
  </si>
  <si>
    <t>UC Berkeley retirement center</t>
  </si>
  <si>
    <t>OTHER</t>
  </si>
  <si>
    <t>Billing and payment services</t>
  </si>
  <si>
    <t>DUPLICATING</t>
  </si>
  <si>
    <t>Library binderies</t>
  </si>
  <si>
    <t>GARAGE</t>
  </si>
  <si>
    <t>Fleet services</t>
  </si>
  <si>
    <t>Parking and transportation</t>
  </si>
  <si>
    <t>MAIL AND MESSENGER</t>
  </si>
  <si>
    <t>MATERIAL MANAGEMENT</t>
  </si>
  <si>
    <t>Material management</t>
  </si>
  <si>
    <t>Procurement</t>
  </si>
  <si>
    <t>Property management</t>
  </si>
  <si>
    <t>Real estate services office</t>
  </si>
  <si>
    <t>POLICE</t>
  </si>
  <si>
    <t>TELEPHONE</t>
  </si>
  <si>
    <t>DEVELOPMENT</t>
  </si>
  <si>
    <t>PUBLIC INFORMATION</t>
  </si>
  <si>
    <t>Community relations</t>
  </si>
  <si>
    <t>Media relations</t>
  </si>
  <si>
    <t>Public affairs</t>
  </si>
  <si>
    <t>Publications</t>
  </si>
  <si>
    <t>Total Institutional Support</t>
  </si>
  <si>
    <t xml:space="preserve">OPERATION AND MAINTENANCE </t>
  </si>
  <si>
    <t>OF PLANT</t>
  </si>
  <si>
    <t>Administration</t>
  </si>
  <si>
    <t>Building maintenance and major</t>
  </si>
  <si>
    <t>repairs and alterations</t>
  </si>
  <si>
    <t>Chancellor university house</t>
  </si>
  <si>
    <t>Physical plant building maintenance</t>
  </si>
  <si>
    <t>Richmond Field Station</t>
  </si>
  <si>
    <t>Grounds maintenance</t>
  </si>
  <si>
    <t>Janitorial service</t>
  </si>
  <si>
    <t>Plant service</t>
  </si>
  <si>
    <t>Refuse disposal</t>
  </si>
  <si>
    <t>Utilities</t>
  </si>
  <si>
    <t xml:space="preserve">Compensated absences accrual </t>
  </si>
  <si>
    <t>Total Operation and Maintenance</t>
  </si>
  <si>
    <t xml:space="preserve"> of Plant</t>
  </si>
  <si>
    <t>STUDENT FINANCIAL AID</t>
  </si>
  <si>
    <t>Scholarship Allowance</t>
  </si>
  <si>
    <t>Total Student Financial Aid</t>
  </si>
  <si>
    <t>AUXILIARY ENTERPRISES</t>
  </si>
  <si>
    <t>APARTMENTS</t>
  </si>
  <si>
    <t>CAFETERIAS</t>
  </si>
  <si>
    <t>RESIDENCE HALLS</t>
  </si>
  <si>
    <t>INTERCOLLEGIATE ATHLETICS</t>
  </si>
  <si>
    <t>PARKING</t>
  </si>
  <si>
    <t>Total Auxiliary Enterprises</t>
  </si>
  <si>
    <t>Subtotal</t>
  </si>
  <si>
    <t>Eliminated Capital Expenditures</t>
  </si>
  <si>
    <t>FUNDING STREAM ASSESSMENT</t>
  </si>
  <si>
    <t>Total Current Funds Expenditures</t>
  </si>
  <si>
    <t>Bioscience divisional services</t>
  </si>
  <si>
    <t>International and area studies teaching</t>
  </si>
  <si>
    <t>Li Ka Shing building</t>
  </si>
  <si>
    <t>Center for partical astrophysics</t>
  </si>
  <si>
    <t>Institute of industrail relations</t>
  </si>
  <si>
    <t>Vice chancellor for research</t>
  </si>
  <si>
    <t>Berkeley skydeck</t>
  </si>
  <si>
    <t>Center of evaluation for global action</t>
  </si>
  <si>
    <t>Research enterprise support services</t>
  </si>
  <si>
    <t>Energy and climate institute</t>
  </si>
  <si>
    <t>Independent research programs</t>
  </si>
  <si>
    <t>Phoebe Hearst museum of anthropology</t>
  </si>
  <si>
    <t>Haas diversity research center</t>
  </si>
  <si>
    <t>Simons institute theory of computing</t>
  </si>
  <si>
    <t>Campus life and leadership</t>
  </si>
  <si>
    <t>Osher lifelong learning institute</t>
  </si>
  <si>
    <t>Museum of vertibrate zoology</t>
  </si>
  <si>
    <t>Resource center for online education</t>
  </si>
  <si>
    <t>Social science data lab</t>
  </si>
  <si>
    <t>Strategic program management</t>
  </si>
  <si>
    <t>Operational excellence project office</t>
  </si>
  <si>
    <t>Shared services</t>
  </si>
  <si>
    <t>Technology support and services</t>
  </si>
  <si>
    <t>Transfer and re-entry program</t>
  </si>
  <si>
    <t>Educational technology services</t>
  </si>
  <si>
    <t>Multicultural student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</si>
</sst>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(* #,##0,_);_(* \(#,##0,\);_(* &quot;-&quot;_);_(@_)"/>
    <numFmt numFmtId="165" formatCode="_(&quot;$&quot;* #,##0,_);_(&quot;$&quot;* \(#,##0,\);_(&quot;$&quot;* &quot;-&quot;_);_(@_)"/>
  </numFmts>
  <fonts count="5" x14ac:knownFonts="1"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u val="singleAccounting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2" fillId="0" borderId="0" applyFill="0" applyBorder="0" applyAlignment="0">
      <protection locked="0"/>
    </xf>
    <xf numFmtId="164" fontId="1" fillId="0" borderId="0" applyFill="0" applyBorder="0" applyAlignment="0"/>
  </cellStyleXfs>
  <cellXfs count="60">
    <xf numFmtId="0" fontId="0" fillId="0" borderId="0" xfId="0"/>
    <xf numFmtId="49" fontId="1" fillId="0" borderId="1" xfId="2" applyNumberFormat="1" applyFont="1" applyFill="1" applyBorder="1" applyAlignment="1" applyProtection="1">
      <protection locked="0"/>
    </xf>
    <xf numFmtId="49" fontId="1" fillId="0" borderId="1" xfId="2" applyNumberFormat="1" applyFont="1" applyFill="1" applyBorder="1" applyAlignment="1" applyProtection="1">
      <alignment horizontal="left"/>
      <protection locked="0"/>
    </xf>
    <xf numFmtId="164" fontId="1" fillId="0" borderId="1" xfId="2" applyFont="1" applyFill="1" applyBorder="1" applyAlignment="1"/>
    <xf numFmtId="41" fontId="1" fillId="0" borderId="1" xfId="2" applyNumberFormat="1" applyFont="1" applyFill="1" applyBorder="1" applyAlignment="1" applyProtection="1">
      <protection locked="0"/>
    </xf>
    <xf numFmtId="41" fontId="1" fillId="0" borderId="2" xfId="2" applyNumberFormat="1" applyFont="1" applyFill="1" applyBorder="1" applyAlignment="1" applyProtection="1">
      <alignment horizontal="centerContinuous"/>
      <protection locked="0"/>
    </xf>
    <xf numFmtId="0" fontId="1" fillId="0" borderId="2" xfId="0" applyFont="1" applyFill="1" applyBorder="1" applyAlignment="1">
      <alignment horizontal="centerContinuous"/>
    </xf>
    <xf numFmtId="41" fontId="1" fillId="0" borderId="0" xfId="2" applyNumberFormat="1" applyFont="1" applyFill="1" applyBorder="1" applyAlignment="1" applyProtection="1">
      <protection locked="0"/>
    </xf>
    <xf numFmtId="37" fontId="1" fillId="0" borderId="0" xfId="2" applyNumberFormat="1" applyFont="1" applyFill="1" applyBorder="1" applyAlignment="1" applyProtection="1">
      <protection locked="0"/>
    </xf>
    <xf numFmtId="49" fontId="1" fillId="0" borderId="0" xfId="2" applyNumberFormat="1" applyFont="1" applyFill="1" applyBorder="1" applyAlignment="1" applyProtection="1">
      <alignment wrapText="1"/>
      <protection locked="0"/>
    </xf>
    <xf numFmtId="49" fontId="1" fillId="0" borderId="0" xfId="2" applyNumberFormat="1" applyFont="1" applyFill="1" applyBorder="1" applyAlignment="1" applyProtection="1">
      <alignment horizontal="left" wrapText="1"/>
      <protection locked="0"/>
    </xf>
    <xf numFmtId="164" fontId="1" fillId="0" borderId="3" xfId="2" applyFont="1" applyFill="1" applyBorder="1" applyAlignment="1">
      <alignment horizontal="center" wrapText="1"/>
    </xf>
    <xf numFmtId="41" fontId="1" fillId="0" borderId="0" xfId="2" applyNumberFormat="1" applyFont="1" applyFill="1" applyBorder="1" applyAlignment="1" applyProtection="1">
      <alignment wrapText="1"/>
      <protection locked="0"/>
    </xf>
    <xf numFmtId="41" fontId="1" fillId="0" borderId="3" xfId="2" applyNumberFormat="1" applyFont="1" applyFill="1" applyBorder="1" applyAlignment="1" applyProtection="1">
      <alignment horizontal="centerContinuous" wrapText="1"/>
      <protection locked="0"/>
    </xf>
    <xf numFmtId="41" fontId="1" fillId="0" borderId="0" xfId="2" applyNumberFormat="1" applyFont="1" applyFill="1" applyBorder="1" applyAlignment="1" applyProtection="1">
      <alignment horizontal="center" wrapText="1"/>
      <protection locked="0"/>
    </xf>
    <xf numFmtId="41" fontId="1" fillId="0" borderId="3" xfId="2" applyNumberFormat="1" applyFont="1" applyFill="1" applyBorder="1" applyAlignment="1" applyProtection="1">
      <alignment horizontal="center" wrapText="1"/>
      <protection locked="0"/>
    </xf>
    <xf numFmtId="49" fontId="1" fillId="0" borderId="0" xfId="2" applyNumberFormat="1" applyFont="1" applyFill="1" applyBorder="1" applyAlignment="1" applyProtection="1">
      <protection locked="0"/>
    </xf>
    <xf numFmtId="49" fontId="1" fillId="0" borderId="0" xfId="2" applyNumberFormat="1" applyFont="1" applyFill="1" applyBorder="1" applyAlignment="1" applyProtection="1">
      <alignment horizontal="left"/>
      <protection locked="0"/>
    </xf>
    <xf numFmtId="164" fontId="1" fillId="0" borderId="0" xfId="2" applyFont="1" applyFill="1" applyBorder="1" applyAlignment="1"/>
    <xf numFmtId="41" fontId="1" fillId="0" borderId="3" xfId="2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/>
    <xf numFmtId="164" fontId="1" fillId="0" borderId="0" xfId="2" applyFont="1" applyFill="1" applyBorder="1" applyAlignment="1" applyProtection="1">
      <protection locked="0"/>
    </xf>
    <xf numFmtId="49" fontId="3" fillId="0" borderId="0" xfId="2" applyNumberFormat="1" applyFont="1" applyFill="1" applyAlignment="1" applyProtection="1">
      <protection locked="0"/>
    </xf>
    <xf numFmtId="49" fontId="4" fillId="0" borderId="0" xfId="2" applyNumberFormat="1" applyFont="1" applyFill="1" applyAlignment="1" applyProtection="1">
      <protection locked="0"/>
    </xf>
    <xf numFmtId="49" fontId="4" fillId="0" borderId="0" xfId="0" applyNumberFormat="1" applyFont="1" applyFill="1"/>
    <xf numFmtId="164" fontId="1" fillId="0" borderId="0" xfId="2" applyFont="1" applyFill="1" applyBorder="1" applyAlignment="1">
      <alignment horizontal="center"/>
    </xf>
    <xf numFmtId="42" fontId="1" fillId="0" borderId="0" xfId="2" applyNumberFormat="1" applyFont="1" applyFill="1" applyBorder="1" applyAlignment="1" applyProtection="1">
      <protection locked="0"/>
    </xf>
    <xf numFmtId="42" fontId="1" fillId="0" borderId="0" xfId="2" applyNumberFormat="1" applyFont="1" applyFill="1" applyBorder="1" applyAlignment="1" applyProtection="1">
      <alignment horizontal="center"/>
      <protection locked="0"/>
    </xf>
    <xf numFmtId="37" fontId="1" fillId="0" borderId="0" xfId="2" applyNumberFormat="1" applyFont="1" applyFill="1" applyBorder="1" applyAlignment="1" applyProtection="1">
      <alignment horizontal="center"/>
      <protection locked="0"/>
    </xf>
    <xf numFmtId="164" fontId="1" fillId="0" borderId="0" xfId="2" applyFont="1" applyFill="1" applyAlignment="1" applyProtection="1">
      <protection locked="0"/>
    </xf>
    <xf numFmtId="49" fontId="1" fillId="0" borderId="0" xfId="2" applyNumberFormat="1" applyFont="1" applyFill="1" applyAlignment="1" applyProtection="1">
      <alignment horizontal="left"/>
      <protection locked="0"/>
    </xf>
    <xf numFmtId="49" fontId="3" fillId="0" borderId="0" xfId="2" applyNumberFormat="1" applyFont="1" applyFill="1" applyBorder="1" applyAlignment="1" applyProtection="1">
      <alignment horizontal="left"/>
      <protection locked="0"/>
    </xf>
    <xf numFmtId="49" fontId="1" fillId="0" borderId="0" xfId="0" applyNumberFormat="1" applyFont="1" applyFill="1" applyAlignment="1" applyProtection="1">
      <protection locked="0"/>
    </xf>
    <xf numFmtId="164" fontId="1" fillId="0" borderId="0" xfId="1" applyNumberFormat="1" applyFont="1" applyFill="1" applyBorder="1" applyAlignment="1">
      <protection locked="0"/>
    </xf>
    <xf numFmtId="49" fontId="1" fillId="0" borderId="0" xfId="0" applyNumberFormat="1" applyFont="1" applyFill="1"/>
    <xf numFmtId="165" fontId="1" fillId="0" borderId="0" xfId="2" applyNumberFormat="1" applyFont="1" applyFill="1" applyBorder="1" applyAlignment="1" applyProtection="1">
      <protection locked="0"/>
    </xf>
    <xf numFmtId="164" fontId="1" fillId="0" borderId="3" xfId="1" applyNumberFormat="1" applyFont="1" applyFill="1" applyBorder="1" applyAlignment="1">
      <protection locked="0"/>
    </xf>
    <xf numFmtId="41" fontId="1" fillId="0" borderId="0" xfId="1" applyNumberFormat="1" applyFont="1" applyFill="1" applyBorder="1" applyAlignment="1" applyProtection="1">
      <protection locked="0"/>
    </xf>
    <xf numFmtId="49" fontId="1" fillId="0" borderId="0" xfId="2" applyNumberFormat="1" applyFont="1" applyFill="1" applyAlignment="1" applyProtection="1">
      <protection locked="0"/>
    </xf>
    <xf numFmtId="164" fontId="1" fillId="0" borderId="0" xfId="2" applyNumberFormat="1" applyFont="1" applyFill="1" applyBorder="1" applyAlignment="1"/>
    <xf numFmtId="164" fontId="1" fillId="0" borderId="0" xfId="2" applyNumberFormat="1" applyFont="1" applyFill="1" applyBorder="1" applyAlignment="1" applyProtection="1">
      <protection locked="0"/>
    </xf>
    <xf numFmtId="164" fontId="1" fillId="0" borderId="3" xfId="2" applyNumberFormat="1" applyFont="1" applyFill="1" applyBorder="1" applyAlignment="1"/>
    <xf numFmtId="49" fontId="3" fillId="0" borderId="0" xfId="2" applyNumberFormat="1" applyFont="1" applyFill="1" applyAlignment="1" applyProtection="1">
      <alignment horizontal="left"/>
      <protection locked="0"/>
    </xf>
    <xf numFmtId="49" fontId="3" fillId="0" borderId="0" xfId="0" applyNumberFormat="1" applyFont="1" applyFill="1" applyAlignment="1" applyProtection="1">
      <protection locked="0"/>
    </xf>
    <xf numFmtId="0" fontId="1" fillId="0" borderId="0" xfId="0" applyFont="1" applyFill="1" applyProtection="1">
      <protection locked="0"/>
    </xf>
    <xf numFmtId="164" fontId="1" fillId="0" borderId="0" xfId="1" applyFont="1" applyFill="1" applyBorder="1" applyAlignment="1">
      <protection locked="0"/>
    </xf>
    <xf numFmtId="49" fontId="1" fillId="0" borderId="0" xfId="0" applyNumberFormat="1" applyFont="1" applyFill="1" applyProtection="1">
      <protection locked="0"/>
    </xf>
    <xf numFmtId="164" fontId="1" fillId="0" borderId="0" xfId="2" applyFont="1" applyFill="1" applyAlignment="1"/>
    <xf numFmtId="42" fontId="1" fillId="0" borderId="0" xfId="2" applyNumberFormat="1" applyFont="1" applyFill="1" applyAlignment="1" applyProtection="1">
      <protection locked="0"/>
    </xf>
    <xf numFmtId="164" fontId="1" fillId="0" borderId="0" xfId="2" applyFont="1" applyFill="1"/>
    <xf numFmtId="41" fontId="1" fillId="0" borderId="3" xfId="2" applyNumberFormat="1" applyFont="1" applyFill="1" applyBorder="1" applyAlignment="1" applyProtection="1">
      <protection locked="0"/>
    </xf>
    <xf numFmtId="165" fontId="1" fillId="0" borderId="4" xfId="2" applyNumberFormat="1" applyFont="1" applyFill="1" applyBorder="1" applyAlignment="1"/>
    <xf numFmtId="165" fontId="1" fillId="0" borderId="4" xfId="1" applyNumberFormat="1" applyFont="1" applyFill="1" applyBorder="1" applyAlignment="1">
      <protection locked="0"/>
    </xf>
    <xf numFmtId="49" fontId="1" fillId="0" borderId="0" xfId="0" applyNumberFormat="1" applyFont="1" applyFill="1" applyBorder="1"/>
    <xf numFmtId="164" fontId="1" fillId="0" borderId="1" xfId="1" applyNumberFormat="1" applyFont="1" applyFill="1" applyBorder="1" applyAlignment="1">
      <protection locked="0"/>
    </xf>
    <xf numFmtId="164" fontId="1" fillId="0" borderId="1" xfId="1" applyFont="1" applyFill="1" applyBorder="1" applyAlignment="1">
      <protection locked="0"/>
    </xf>
    <xf numFmtId="165" fontId="1" fillId="0" borderId="0" xfId="2" applyNumberFormat="1" applyFont="1" applyFill="1" applyBorder="1" applyAlignment="1"/>
    <xf numFmtId="165" fontId="1" fillId="0" borderId="0" xfId="1" applyNumberFormat="1" applyFont="1" applyFill="1" applyBorder="1" applyAlignment="1">
      <protection locked="0"/>
    </xf>
    <xf numFmtId="164" fontId="1" fillId="0" borderId="3" xfId="2" applyFont="1" applyFill="1" applyBorder="1" applyAlignment="1"/>
    <xf numFmtId="164" fontId="1" fillId="0" borderId="0" xfId="2" applyFont="1" applyFill="1" applyBorder="1"/>
  </cellXfs>
  <cellStyles count="3">
    <cellStyle name="Campus-entered" xfId="1"/>
    <cellStyle name="Normal" xfId="0" builtinId="0"/>
    <cellStyle name="Not-campus-entered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8"/>
  <sheetViews>
    <sheetView tabSelected="1" zoomScaleNormal="100" zoomScaleSheetLayoutView="50" workbookViewId="0">
      <pane ySplit="3" topLeftCell="A949" activePane="bottomLeft" state="frozen"/>
      <selection pane="bottomLeft" activeCell="G973" sqref="G973"/>
    </sheetView>
  </sheetViews>
  <sheetFormatPr defaultColWidth="11.6640625" defaultRowHeight="13.2" x14ac:dyDescent="0.25"/>
  <cols>
    <col min="1" max="4" width="1.6640625" style="38" customWidth="1"/>
    <col min="5" max="5" width="29" style="30" bestFit="1" customWidth="1"/>
    <col min="6" max="6" width="11.44140625" style="18" bestFit="1" customWidth="1"/>
    <col min="7" max="7" width="1.109375" style="21" customWidth="1"/>
    <col min="8" max="8" width="10.109375" style="21" bestFit="1" customWidth="1"/>
    <col min="9" max="9" width="1.109375" style="21" customWidth="1"/>
    <col min="10" max="10" width="11.44140625" style="21" customWidth="1"/>
    <col min="11" max="11" width="1.109375" style="21" customWidth="1"/>
    <col min="12" max="12" width="11" style="21" bestFit="1" customWidth="1"/>
    <col min="13" max="13" width="1.109375" style="21" customWidth="1"/>
    <col min="14" max="14" width="13.88671875" style="21" customWidth="1"/>
    <col min="15" max="15" width="1.109375" style="21" customWidth="1"/>
    <col min="16" max="16" width="11.33203125" style="21" customWidth="1"/>
    <col min="17" max="17" width="1.109375" style="21" customWidth="1"/>
    <col min="18" max="18" width="9.6640625" style="21" customWidth="1"/>
    <col min="19" max="19" width="16.6640625" style="29" hidden="1" customWidth="1"/>
    <col min="20" max="16384" width="11.6640625" style="29"/>
  </cols>
  <sheetData>
    <row r="1" spans="1:19" s="7" customFormat="1" ht="21.75" customHeight="1" x14ac:dyDescent="0.25">
      <c r="A1" s="1"/>
      <c r="B1" s="1"/>
      <c r="C1" s="1"/>
      <c r="D1" s="1"/>
      <c r="E1" s="2"/>
      <c r="F1" s="3"/>
      <c r="G1" s="4"/>
      <c r="H1" s="5" t="s">
        <v>0</v>
      </c>
      <c r="I1" s="5"/>
      <c r="J1" s="6"/>
      <c r="K1" s="5"/>
      <c r="L1" s="5"/>
      <c r="M1" s="4"/>
      <c r="N1" s="5" t="s">
        <v>1</v>
      </c>
      <c r="O1" s="5"/>
      <c r="P1" s="6"/>
      <c r="Q1" s="5"/>
      <c r="R1" s="5"/>
    </row>
    <row r="2" spans="1:19" s="12" customFormat="1" ht="31.95" customHeight="1" x14ac:dyDescent="0.25">
      <c r="A2" s="9"/>
      <c r="B2" s="9"/>
      <c r="C2" s="9"/>
      <c r="D2" s="9"/>
      <c r="E2" s="10"/>
      <c r="F2" s="11" t="s">
        <v>2</v>
      </c>
      <c r="H2" s="13" t="s">
        <v>3</v>
      </c>
      <c r="I2" s="13"/>
      <c r="J2" s="13"/>
      <c r="K2" s="14"/>
      <c r="L2" s="15" t="s">
        <v>4</v>
      </c>
      <c r="M2" s="14"/>
      <c r="N2" s="15" t="s">
        <v>5</v>
      </c>
      <c r="O2" s="14"/>
      <c r="P2" s="15" t="s">
        <v>6</v>
      </c>
      <c r="Q2" s="14"/>
      <c r="R2" s="15" t="s">
        <v>7</v>
      </c>
    </row>
    <row r="3" spans="1:19" s="7" customFormat="1" ht="21.6" customHeight="1" x14ac:dyDescent="0.25">
      <c r="A3" s="16"/>
      <c r="B3" s="16"/>
      <c r="C3" s="16"/>
      <c r="D3" s="16"/>
      <c r="E3" s="16"/>
      <c r="F3" s="16"/>
      <c r="G3" s="16"/>
      <c r="H3" s="19" t="s">
        <v>8</v>
      </c>
      <c r="I3" s="16"/>
      <c r="J3" s="19" t="s">
        <v>9</v>
      </c>
      <c r="K3" s="16"/>
      <c r="L3" s="16"/>
      <c r="M3" s="16"/>
      <c r="N3" s="16"/>
      <c r="O3" s="16"/>
      <c r="P3" s="16"/>
      <c r="Q3" s="16"/>
      <c r="R3" s="16"/>
      <c r="S3" s="16"/>
    </row>
    <row r="4" spans="1:19" ht="12.75" customHeight="1" x14ac:dyDescent="0.4">
      <c r="A4" s="22" t="s">
        <v>10</v>
      </c>
      <c r="B4" s="23"/>
      <c r="C4" s="23"/>
      <c r="D4" s="23"/>
      <c r="E4" s="24"/>
      <c r="F4" s="25"/>
      <c r="G4" s="26"/>
      <c r="H4" s="27"/>
      <c r="I4" s="28"/>
      <c r="J4" s="27"/>
      <c r="K4" s="28"/>
      <c r="L4" s="27"/>
      <c r="M4" s="28"/>
      <c r="N4" s="28"/>
      <c r="O4" s="28"/>
      <c r="P4" s="28"/>
      <c r="Q4" s="28"/>
    </row>
    <row r="5" spans="1:19" ht="12.75" customHeight="1" x14ac:dyDescent="0.4">
      <c r="A5" s="22"/>
      <c r="B5" s="22" t="s">
        <v>11</v>
      </c>
      <c r="C5" s="23"/>
      <c r="D5" s="23"/>
      <c r="E5" s="24"/>
      <c r="F5" s="25"/>
      <c r="G5" s="26"/>
      <c r="H5" s="27"/>
      <c r="I5" s="28"/>
      <c r="J5" s="27"/>
      <c r="K5" s="28"/>
      <c r="L5" s="27"/>
      <c r="M5" s="28"/>
      <c r="N5" s="28"/>
      <c r="O5" s="28"/>
      <c r="P5" s="28"/>
      <c r="Q5" s="28"/>
    </row>
    <row r="6" spans="1:19" ht="12.75" customHeight="1" x14ac:dyDescent="0.25">
      <c r="A6" s="30"/>
      <c r="B6" s="31"/>
      <c r="C6" s="31"/>
      <c r="D6" s="31"/>
      <c r="E6" s="32"/>
      <c r="G6" s="26"/>
      <c r="H6" s="26"/>
      <c r="I6" s="8"/>
      <c r="J6" s="26"/>
      <c r="K6" s="8"/>
      <c r="L6" s="26"/>
      <c r="M6" s="8"/>
      <c r="N6" s="8"/>
      <c r="O6" s="8"/>
      <c r="P6" s="8"/>
      <c r="Q6" s="8"/>
    </row>
    <row r="7" spans="1:19" ht="16.5" customHeight="1" x14ac:dyDescent="0.25">
      <c r="A7" s="31"/>
      <c r="B7" s="17" t="s">
        <v>12</v>
      </c>
      <c r="C7" s="32"/>
      <c r="D7" s="32"/>
      <c r="G7" s="26"/>
      <c r="H7" s="26"/>
      <c r="I7" s="8"/>
      <c r="J7" s="26"/>
      <c r="K7" s="8"/>
      <c r="L7" s="33"/>
      <c r="M7" s="8"/>
      <c r="N7" s="8"/>
      <c r="O7" s="8"/>
      <c r="P7" s="8"/>
      <c r="Q7" s="8"/>
    </row>
    <row r="8" spans="1:19" x14ac:dyDescent="0.25">
      <c r="A8" s="32"/>
      <c r="B8" s="32"/>
      <c r="C8" s="30" t="s">
        <v>13</v>
      </c>
      <c r="D8" s="30"/>
      <c r="E8" s="34"/>
      <c r="F8" s="56">
        <f t="shared" ref="F8:F13" si="0">SUM(H8:L8)</f>
        <v>101000</v>
      </c>
      <c r="G8" s="35"/>
      <c r="H8" s="56">
        <v>9000</v>
      </c>
      <c r="I8" s="57"/>
      <c r="J8" s="56">
        <v>3000</v>
      </c>
      <c r="K8" s="57"/>
      <c r="L8" s="56">
        <v>89000</v>
      </c>
      <c r="M8" s="57"/>
      <c r="N8" s="56">
        <v>66000</v>
      </c>
      <c r="O8" s="57"/>
      <c r="P8" s="56">
        <v>35000</v>
      </c>
      <c r="Q8" s="57"/>
      <c r="R8" s="56">
        <v>0</v>
      </c>
      <c r="S8" s="29">
        <f t="shared" ref="S8:S71" si="1">+F8-N8-P8+R8</f>
        <v>0</v>
      </c>
    </row>
    <row r="9" spans="1:19" x14ac:dyDescent="0.25">
      <c r="A9" s="32"/>
      <c r="B9" s="32"/>
      <c r="C9" s="30" t="s">
        <v>15</v>
      </c>
      <c r="D9" s="30"/>
      <c r="E9" s="34"/>
      <c r="F9" s="18">
        <f t="shared" si="0"/>
        <v>183000</v>
      </c>
      <c r="G9" s="35"/>
      <c r="H9" s="33">
        <v>56000</v>
      </c>
      <c r="I9" s="57"/>
      <c r="J9" s="33">
        <v>15000</v>
      </c>
      <c r="K9" s="57"/>
      <c r="L9" s="33">
        <v>112000</v>
      </c>
      <c r="M9" s="57"/>
      <c r="N9" s="33">
        <v>54000</v>
      </c>
      <c r="O9" s="57"/>
      <c r="P9" s="33">
        <v>129000</v>
      </c>
      <c r="Q9" s="57"/>
      <c r="R9" s="33">
        <v>0</v>
      </c>
      <c r="S9" s="29">
        <f t="shared" si="1"/>
        <v>0</v>
      </c>
    </row>
    <row r="10" spans="1:19" x14ac:dyDescent="0.25">
      <c r="A10" s="32"/>
      <c r="B10" s="32"/>
      <c r="C10" s="30" t="s">
        <v>16</v>
      </c>
      <c r="D10" s="30"/>
      <c r="E10" s="34"/>
      <c r="F10" s="18">
        <f t="shared" si="0"/>
        <v>68000</v>
      </c>
      <c r="G10" s="35"/>
      <c r="H10" s="33">
        <v>23000</v>
      </c>
      <c r="I10" s="57"/>
      <c r="J10" s="33">
        <v>24000</v>
      </c>
      <c r="K10" s="57"/>
      <c r="L10" s="33">
        <v>21000</v>
      </c>
      <c r="M10" s="57"/>
      <c r="N10" s="33">
        <v>31000</v>
      </c>
      <c r="O10" s="57"/>
      <c r="P10" s="33">
        <v>37000</v>
      </c>
      <c r="Q10" s="57"/>
      <c r="R10" s="33">
        <v>0</v>
      </c>
      <c r="S10" s="29">
        <f t="shared" si="1"/>
        <v>0</v>
      </c>
    </row>
    <row r="11" spans="1:19" x14ac:dyDescent="0.25">
      <c r="A11" s="31"/>
      <c r="B11" s="31"/>
      <c r="C11" s="30" t="s">
        <v>17</v>
      </c>
      <c r="D11" s="30"/>
      <c r="E11" s="34"/>
      <c r="F11" s="18">
        <f t="shared" si="0"/>
        <v>23000</v>
      </c>
      <c r="G11" s="35"/>
      <c r="H11" s="33">
        <v>12000</v>
      </c>
      <c r="I11" s="57"/>
      <c r="J11" s="33">
        <v>6000</v>
      </c>
      <c r="K11" s="57"/>
      <c r="L11" s="33">
        <v>5000</v>
      </c>
      <c r="M11" s="57"/>
      <c r="N11" s="33">
        <v>11000</v>
      </c>
      <c r="O11" s="57"/>
      <c r="P11" s="33">
        <v>12000</v>
      </c>
      <c r="Q11" s="57"/>
      <c r="R11" s="33">
        <v>0</v>
      </c>
      <c r="S11" s="29">
        <f t="shared" si="1"/>
        <v>0</v>
      </c>
    </row>
    <row r="12" spans="1:19" x14ac:dyDescent="0.25">
      <c r="A12" s="31"/>
      <c r="B12" s="31"/>
      <c r="C12" s="30" t="s">
        <v>18</v>
      </c>
      <c r="D12" s="30"/>
      <c r="E12" s="34"/>
      <c r="F12" s="18">
        <f t="shared" si="0"/>
        <v>79000</v>
      </c>
      <c r="G12" s="35"/>
      <c r="H12" s="33">
        <v>6000</v>
      </c>
      <c r="I12" s="57"/>
      <c r="J12" s="33">
        <v>0</v>
      </c>
      <c r="K12" s="57"/>
      <c r="L12" s="33">
        <v>73000</v>
      </c>
      <c r="M12" s="57"/>
      <c r="N12" s="33">
        <v>59000</v>
      </c>
      <c r="O12" s="57"/>
      <c r="P12" s="33">
        <v>20000</v>
      </c>
      <c r="Q12" s="57"/>
      <c r="R12" s="33">
        <v>0</v>
      </c>
      <c r="S12" s="29">
        <f t="shared" si="1"/>
        <v>0</v>
      </c>
    </row>
    <row r="13" spans="1:19" x14ac:dyDescent="0.25">
      <c r="A13" s="31"/>
      <c r="B13" s="31"/>
      <c r="C13" s="30" t="s">
        <v>19</v>
      </c>
      <c r="D13" s="30"/>
      <c r="E13" s="34"/>
      <c r="F13" s="18">
        <f t="shared" si="0"/>
        <v>10000</v>
      </c>
      <c r="G13" s="35"/>
      <c r="H13" s="33">
        <v>1000</v>
      </c>
      <c r="I13" s="57"/>
      <c r="J13" s="33">
        <v>4000</v>
      </c>
      <c r="K13" s="57"/>
      <c r="L13" s="33">
        <v>5000</v>
      </c>
      <c r="M13" s="57"/>
      <c r="N13" s="33">
        <v>4000</v>
      </c>
      <c r="O13" s="57"/>
      <c r="P13" s="33">
        <v>6000</v>
      </c>
      <c r="Q13" s="57"/>
      <c r="R13" s="33">
        <v>0</v>
      </c>
      <c r="S13" s="29">
        <f t="shared" si="1"/>
        <v>0</v>
      </c>
    </row>
    <row r="14" spans="1:19" x14ac:dyDescent="0.25">
      <c r="A14" s="32"/>
      <c r="B14" s="32"/>
      <c r="C14" s="30" t="s">
        <v>20</v>
      </c>
      <c r="D14" s="30"/>
      <c r="E14" s="20"/>
      <c r="G14" s="7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29">
        <f t="shared" si="1"/>
        <v>0</v>
      </c>
    </row>
    <row r="15" spans="1:19" x14ac:dyDescent="0.25">
      <c r="A15" s="32"/>
      <c r="B15" s="32"/>
      <c r="C15" s="30" t="s">
        <v>21</v>
      </c>
      <c r="D15" s="30"/>
      <c r="E15" s="34" t="s">
        <v>22</v>
      </c>
      <c r="F15" s="58">
        <f>SUM(H15:L15)</f>
        <v>42000</v>
      </c>
      <c r="G15" s="7"/>
      <c r="H15" s="36">
        <v>18000</v>
      </c>
      <c r="I15" s="33"/>
      <c r="J15" s="36">
        <v>4000</v>
      </c>
      <c r="K15" s="33"/>
      <c r="L15" s="36">
        <v>20000</v>
      </c>
      <c r="M15" s="33"/>
      <c r="N15" s="36">
        <v>6000</v>
      </c>
      <c r="O15" s="33"/>
      <c r="P15" s="36">
        <v>36000</v>
      </c>
      <c r="Q15" s="33"/>
      <c r="R15" s="36">
        <v>0</v>
      </c>
      <c r="S15" s="29">
        <f t="shared" si="1"/>
        <v>0</v>
      </c>
    </row>
    <row r="16" spans="1:19" x14ac:dyDescent="0.25">
      <c r="A16" s="32"/>
      <c r="B16" s="32"/>
      <c r="C16" s="30"/>
      <c r="D16" s="30"/>
      <c r="G16" s="7"/>
      <c r="H16" s="37"/>
      <c r="I16" s="37"/>
      <c r="J16" s="7"/>
      <c r="K16" s="37"/>
      <c r="L16" s="37"/>
      <c r="M16" s="37"/>
      <c r="N16" s="37"/>
      <c r="O16" s="37"/>
      <c r="P16" s="37"/>
      <c r="Q16" s="37"/>
      <c r="R16" s="7"/>
      <c r="S16" s="29">
        <f t="shared" si="1"/>
        <v>0</v>
      </c>
    </row>
    <row r="17" spans="1:19" x14ac:dyDescent="0.25">
      <c r="A17" s="32"/>
      <c r="B17" s="32"/>
      <c r="C17" s="30"/>
      <c r="D17" s="30"/>
      <c r="E17" s="30" t="s">
        <v>2</v>
      </c>
      <c r="F17" s="58">
        <f>SUM(H17:L17)</f>
        <v>506000</v>
      </c>
      <c r="G17" s="7"/>
      <c r="H17" s="58">
        <f>SUM(H8:H15)</f>
        <v>125000</v>
      </c>
      <c r="I17" s="18"/>
      <c r="J17" s="58">
        <f>SUM(J8:J15)</f>
        <v>56000</v>
      </c>
      <c r="K17" s="18"/>
      <c r="L17" s="58">
        <f>SUM(L8:L15)</f>
        <v>325000</v>
      </c>
      <c r="M17" s="18"/>
      <c r="N17" s="58">
        <f>SUM(N8:N15)</f>
        <v>231000</v>
      </c>
      <c r="O17" s="18"/>
      <c r="P17" s="58">
        <f>SUM(P8:P15)</f>
        <v>275000</v>
      </c>
      <c r="Q17" s="18"/>
      <c r="R17" s="58">
        <f>SUM(R8:R15)</f>
        <v>0</v>
      </c>
      <c r="S17" s="29">
        <f t="shared" si="1"/>
        <v>0</v>
      </c>
    </row>
    <row r="18" spans="1:19" x14ac:dyDescent="0.25"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29">
        <f t="shared" si="1"/>
        <v>0</v>
      </c>
    </row>
    <row r="19" spans="1:19" ht="16.5" customHeight="1" x14ac:dyDescent="0.25">
      <c r="B19" s="38" t="s">
        <v>23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29">
        <f t="shared" si="1"/>
        <v>0</v>
      </c>
    </row>
    <row r="20" spans="1:19" x14ac:dyDescent="0.25">
      <c r="C20" s="30" t="s">
        <v>13</v>
      </c>
      <c r="D20" s="30"/>
      <c r="E20" s="34"/>
      <c r="F20" s="18">
        <f t="shared" ref="F20:F27" si="2">SUM(H20:L20)</f>
        <v>4048000</v>
      </c>
      <c r="G20" s="35"/>
      <c r="H20" s="33">
        <v>3122000</v>
      </c>
      <c r="I20" s="57"/>
      <c r="J20" s="33">
        <f>28000-1000</f>
        <v>27000</v>
      </c>
      <c r="K20" s="57"/>
      <c r="L20" s="33">
        <f>898000+1000</f>
        <v>899000</v>
      </c>
      <c r="M20" s="57"/>
      <c r="N20" s="33">
        <v>2759000</v>
      </c>
      <c r="O20" s="57"/>
      <c r="P20" s="33">
        <f>1290000-1000</f>
        <v>1289000</v>
      </c>
      <c r="Q20" s="57"/>
      <c r="R20" s="33">
        <v>0</v>
      </c>
      <c r="S20" s="29">
        <f t="shared" si="1"/>
        <v>0</v>
      </c>
    </row>
    <row r="21" spans="1:19" x14ac:dyDescent="0.25">
      <c r="C21" s="30" t="s">
        <v>14</v>
      </c>
      <c r="D21" s="30"/>
      <c r="E21" s="34"/>
      <c r="F21" s="18">
        <f t="shared" si="2"/>
        <v>4290000</v>
      </c>
      <c r="G21" s="35"/>
      <c r="H21" s="33">
        <v>925000</v>
      </c>
      <c r="I21" s="57"/>
      <c r="J21" s="33">
        <v>228000</v>
      </c>
      <c r="K21" s="57"/>
      <c r="L21" s="33">
        <v>3137000</v>
      </c>
      <c r="M21" s="57"/>
      <c r="N21" s="33">
        <v>2659000</v>
      </c>
      <c r="O21" s="57"/>
      <c r="P21" s="33">
        <v>1906000</v>
      </c>
      <c r="Q21" s="57"/>
      <c r="R21" s="33">
        <v>275000</v>
      </c>
      <c r="S21" s="29">
        <f t="shared" si="1"/>
        <v>0</v>
      </c>
    </row>
    <row r="22" spans="1:19" x14ac:dyDescent="0.25">
      <c r="C22" s="30" t="s">
        <v>15</v>
      </c>
      <c r="D22" s="30"/>
      <c r="E22" s="34"/>
      <c r="F22" s="18">
        <f t="shared" si="2"/>
        <v>7861000</v>
      </c>
      <c r="G22" s="35"/>
      <c r="H22" s="33">
        <v>2818000</v>
      </c>
      <c r="I22" s="57"/>
      <c r="J22" s="33">
        <v>154000</v>
      </c>
      <c r="K22" s="57"/>
      <c r="L22" s="33">
        <v>4889000</v>
      </c>
      <c r="M22" s="57"/>
      <c r="N22" s="33">
        <v>4592000</v>
      </c>
      <c r="O22" s="57"/>
      <c r="P22" s="33">
        <v>3284000</v>
      </c>
      <c r="Q22" s="57"/>
      <c r="R22" s="33">
        <v>15000</v>
      </c>
      <c r="S22" s="29">
        <f t="shared" si="1"/>
        <v>0</v>
      </c>
    </row>
    <row r="23" spans="1:19" x14ac:dyDescent="0.25">
      <c r="C23" s="30" t="s">
        <v>24</v>
      </c>
      <c r="D23" s="30"/>
      <c r="E23" s="34"/>
      <c r="F23" s="18">
        <f t="shared" si="2"/>
        <v>1241000</v>
      </c>
      <c r="G23" s="35"/>
      <c r="H23" s="33">
        <v>141000</v>
      </c>
      <c r="I23" s="57"/>
      <c r="J23" s="33">
        <v>404000</v>
      </c>
      <c r="K23" s="57"/>
      <c r="L23" s="33">
        <v>696000</v>
      </c>
      <c r="M23" s="57"/>
      <c r="N23" s="33">
        <v>724000</v>
      </c>
      <c r="O23" s="57"/>
      <c r="P23" s="33">
        <v>518000</v>
      </c>
      <c r="Q23" s="57"/>
      <c r="R23" s="33">
        <v>1000</v>
      </c>
      <c r="S23" s="29">
        <f t="shared" si="1"/>
        <v>0</v>
      </c>
    </row>
    <row r="24" spans="1:19" x14ac:dyDescent="0.25">
      <c r="C24" s="30" t="s">
        <v>16</v>
      </c>
      <c r="D24" s="30"/>
      <c r="E24" s="34"/>
      <c r="F24" s="18">
        <f t="shared" si="2"/>
        <v>4589000</v>
      </c>
      <c r="G24" s="35"/>
      <c r="H24" s="33">
        <v>2555000</v>
      </c>
      <c r="I24" s="57"/>
      <c r="J24" s="33">
        <v>87000</v>
      </c>
      <c r="K24" s="57"/>
      <c r="L24" s="33">
        <f>1946000+1000</f>
        <v>1947000</v>
      </c>
      <c r="M24" s="57"/>
      <c r="N24" s="33">
        <v>3001000</v>
      </c>
      <c r="O24" s="57"/>
      <c r="P24" s="33">
        <f>1587000+1000</f>
        <v>1588000</v>
      </c>
      <c r="Q24" s="57"/>
      <c r="R24" s="33">
        <v>0</v>
      </c>
      <c r="S24" s="29">
        <f t="shared" si="1"/>
        <v>0</v>
      </c>
    </row>
    <row r="25" spans="1:19" x14ac:dyDescent="0.25">
      <c r="C25" s="30" t="s">
        <v>17</v>
      </c>
      <c r="D25" s="30"/>
      <c r="E25" s="34"/>
      <c r="F25" s="18">
        <f t="shared" si="2"/>
        <v>4601000</v>
      </c>
      <c r="G25" s="35"/>
      <c r="H25" s="33">
        <v>1453000</v>
      </c>
      <c r="I25" s="57"/>
      <c r="J25" s="33">
        <v>33000</v>
      </c>
      <c r="K25" s="57"/>
      <c r="L25" s="33">
        <f>3116000-1000</f>
        <v>3115000</v>
      </c>
      <c r="M25" s="57"/>
      <c r="N25" s="33">
        <v>2614000</v>
      </c>
      <c r="O25" s="57"/>
      <c r="P25" s="33">
        <v>1987000</v>
      </c>
      <c r="Q25" s="57"/>
      <c r="R25" s="33">
        <v>0</v>
      </c>
      <c r="S25" s="29">
        <f t="shared" si="1"/>
        <v>0</v>
      </c>
    </row>
    <row r="26" spans="1:19" x14ac:dyDescent="0.25">
      <c r="C26" s="30" t="s">
        <v>18</v>
      </c>
      <c r="D26" s="30"/>
      <c r="E26" s="34"/>
      <c r="F26" s="18">
        <f t="shared" si="2"/>
        <v>6089000</v>
      </c>
      <c r="G26" s="35"/>
      <c r="H26" s="33">
        <v>1445000</v>
      </c>
      <c r="I26" s="57"/>
      <c r="J26" s="33">
        <v>294000</v>
      </c>
      <c r="K26" s="57"/>
      <c r="L26" s="33">
        <v>4350000</v>
      </c>
      <c r="M26" s="57"/>
      <c r="N26" s="33">
        <v>2403000</v>
      </c>
      <c r="O26" s="57"/>
      <c r="P26" s="33">
        <v>3686000</v>
      </c>
      <c r="Q26" s="57"/>
      <c r="R26" s="33">
        <v>0</v>
      </c>
      <c r="S26" s="29">
        <f t="shared" si="1"/>
        <v>0</v>
      </c>
    </row>
    <row r="27" spans="1:19" x14ac:dyDescent="0.25">
      <c r="C27" s="30" t="s">
        <v>19</v>
      </c>
      <c r="D27" s="30"/>
      <c r="E27" s="34"/>
      <c r="F27" s="18">
        <f t="shared" si="2"/>
        <v>7259000</v>
      </c>
      <c r="G27" s="35"/>
      <c r="H27" s="33">
        <v>2640000</v>
      </c>
      <c r="I27" s="57"/>
      <c r="J27" s="33">
        <v>78000</v>
      </c>
      <c r="K27" s="57"/>
      <c r="L27" s="33">
        <v>4541000</v>
      </c>
      <c r="M27" s="57"/>
      <c r="N27" s="33">
        <v>4378000</v>
      </c>
      <c r="O27" s="57"/>
      <c r="P27" s="33">
        <v>2881000</v>
      </c>
      <c r="Q27" s="57"/>
      <c r="R27" s="33">
        <v>0</v>
      </c>
      <c r="S27" s="29">
        <f t="shared" si="1"/>
        <v>0</v>
      </c>
    </row>
    <row r="28" spans="1:19" x14ac:dyDescent="0.25">
      <c r="C28" s="30" t="s">
        <v>20</v>
      </c>
      <c r="D28" s="30"/>
      <c r="E28" s="20"/>
      <c r="F28" s="39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29">
        <f t="shared" si="1"/>
        <v>0</v>
      </c>
    </row>
    <row r="29" spans="1:19" x14ac:dyDescent="0.25">
      <c r="C29" s="30" t="s">
        <v>21</v>
      </c>
      <c r="D29" s="30"/>
      <c r="E29" s="34" t="s">
        <v>22</v>
      </c>
      <c r="F29" s="58">
        <f>SUM(H29:L29)</f>
        <v>1905000</v>
      </c>
      <c r="G29" s="7"/>
      <c r="H29" s="36">
        <v>1361000</v>
      </c>
      <c r="I29" s="33"/>
      <c r="J29" s="36">
        <v>29000</v>
      </c>
      <c r="K29" s="33"/>
      <c r="L29" s="36">
        <v>515000</v>
      </c>
      <c r="M29" s="33"/>
      <c r="N29" s="36">
        <v>1194000</v>
      </c>
      <c r="O29" s="33"/>
      <c r="P29" s="36">
        <v>711000</v>
      </c>
      <c r="Q29" s="33"/>
      <c r="R29" s="36">
        <v>0</v>
      </c>
      <c r="S29" s="29">
        <f t="shared" si="1"/>
        <v>0</v>
      </c>
    </row>
    <row r="30" spans="1:19" x14ac:dyDescent="0.25">
      <c r="C30" s="30"/>
      <c r="D30" s="30"/>
      <c r="F30" s="39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29">
        <f t="shared" si="1"/>
        <v>0</v>
      </c>
    </row>
    <row r="31" spans="1:19" x14ac:dyDescent="0.25">
      <c r="C31" s="30"/>
      <c r="D31" s="30"/>
      <c r="E31" s="30" t="s">
        <v>2</v>
      </c>
      <c r="F31" s="41">
        <f>SUM(F20:F29)</f>
        <v>41883000</v>
      </c>
      <c r="G31" s="40"/>
      <c r="H31" s="41">
        <f>SUM(H20:H29)</f>
        <v>16460000</v>
      </c>
      <c r="I31" s="40"/>
      <c r="J31" s="41">
        <f>SUM(J20:J29)</f>
        <v>1334000</v>
      </c>
      <c r="K31" s="40"/>
      <c r="L31" s="41">
        <f>SUM(L20:L29)</f>
        <v>24089000</v>
      </c>
      <c r="M31" s="40"/>
      <c r="N31" s="41">
        <f>SUM(N20:N29)</f>
        <v>24324000</v>
      </c>
      <c r="O31" s="40"/>
      <c r="P31" s="41">
        <f>SUM(P20:P29)</f>
        <v>17850000</v>
      </c>
      <c r="Q31" s="40"/>
      <c r="R31" s="41">
        <f>SUM(R20:R29)</f>
        <v>291000</v>
      </c>
      <c r="S31" s="29">
        <f t="shared" si="1"/>
        <v>0</v>
      </c>
    </row>
    <row r="32" spans="1:19" x14ac:dyDescent="0.25"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29">
        <f t="shared" si="1"/>
        <v>0</v>
      </c>
    </row>
    <row r="33" spans="1:19" x14ac:dyDescent="0.25">
      <c r="A33" s="32"/>
      <c r="B33" s="32" t="s">
        <v>25</v>
      </c>
      <c r="C33" s="30"/>
      <c r="D33" s="30"/>
      <c r="E33" s="38"/>
      <c r="F33" s="58">
        <f>SUM(H33:L33)</f>
        <v>5000</v>
      </c>
      <c r="G33" s="7"/>
      <c r="H33" s="36">
        <v>0</v>
      </c>
      <c r="I33" s="33"/>
      <c r="J33" s="36">
        <v>0</v>
      </c>
      <c r="K33" s="33"/>
      <c r="L33" s="36">
        <v>5000</v>
      </c>
      <c r="M33" s="33"/>
      <c r="N33" s="36">
        <v>0</v>
      </c>
      <c r="O33" s="33"/>
      <c r="P33" s="36">
        <v>5000</v>
      </c>
      <c r="Q33" s="33"/>
      <c r="R33" s="36">
        <v>0</v>
      </c>
      <c r="S33" s="29">
        <f t="shared" si="1"/>
        <v>0</v>
      </c>
    </row>
    <row r="34" spans="1:19" x14ac:dyDescent="0.25"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29">
        <f t="shared" si="1"/>
        <v>0</v>
      </c>
    </row>
    <row r="35" spans="1:19" x14ac:dyDescent="0.25">
      <c r="A35" s="31"/>
      <c r="B35" s="31"/>
      <c r="C35" s="32"/>
      <c r="D35" s="32"/>
      <c r="E35" s="30" t="s">
        <v>26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29">
        <f t="shared" si="1"/>
        <v>0</v>
      </c>
    </row>
    <row r="36" spans="1:19" x14ac:dyDescent="0.25">
      <c r="A36" s="32"/>
      <c r="B36" s="42"/>
      <c r="C36" s="32"/>
      <c r="D36" s="32"/>
      <c r="E36" s="38" t="s">
        <v>27</v>
      </c>
      <c r="F36" s="58">
        <f>F17+F31+F33</f>
        <v>42394000</v>
      </c>
      <c r="G36" s="7"/>
      <c r="H36" s="58">
        <f>H17+H31+H33</f>
        <v>16585000</v>
      </c>
      <c r="I36" s="58"/>
      <c r="J36" s="58">
        <f>J17+J31+J33</f>
        <v>1390000</v>
      </c>
      <c r="K36" s="58"/>
      <c r="L36" s="58">
        <f>L17+L31+L33</f>
        <v>24419000</v>
      </c>
      <c r="M36" s="58"/>
      <c r="N36" s="58">
        <f>N17+N31+N33</f>
        <v>24555000</v>
      </c>
      <c r="O36" s="58"/>
      <c r="P36" s="58">
        <f>P17+P31+P33</f>
        <v>18130000</v>
      </c>
      <c r="Q36" s="58"/>
      <c r="R36" s="58">
        <f>R17+R31+R33</f>
        <v>291000</v>
      </c>
      <c r="S36" s="29">
        <f t="shared" si="1"/>
        <v>0</v>
      </c>
    </row>
    <row r="37" spans="1:19" x14ac:dyDescent="0.25">
      <c r="A37" s="32"/>
      <c r="B37" s="32"/>
      <c r="C37" s="30"/>
      <c r="D37" s="30"/>
      <c r="E37" s="38"/>
      <c r="G37" s="7"/>
      <c r="H37" s="7"/>
      <c r="I37" s="37"/>
      <c r="J37" s="37"/>
      <c r="K37" s="37"/>
      <c r="L37" s="37"/>
      <c r="M37" s="37"/>
      <c r="N37" s="37"/>
      <c r="O37" s="37"/>
      <c r="P37" s="37"/>
      <c r="Q37" s="37"/>
      <c r="R37" s="7"/>
      <c r="S37" s="29">
        <f t="shared" si="1"/>
        <v>0</v>
      </c>
    </row>
    <row r="38" spans="1:19" x14ac:dyDescent="0.25">
      <c r="A38" s="43" t="s">
        <v>28</v>
      </c>
      <c r="B38" s="32"/>
      <c r="C38" s="30"/>
      <c r="D38" s="30"/>
      <c r="E38" s="38"/>
      <c r="G38" s="7"/>
      <c r="H38" s="7"/>
      <c r="I38" s="37"/>
      <c r="J38" s="37"/>
      <c r="K38" s="37"/>
      <c r="L38" s="37"/>
      <c r="M38" s="37"/>
      <c r="N38" s="37"/>
      <c r="O38" s="37"/>
      <c r="P38" s="37"/>
      <c r="Q38" s="37"/>
      <c r="R38" s="7"/>
      <c r="S38" s="29">
        <f t="shared" si="1"/>
        <v>0</v>
      </c>
    </row>
    <row r="39" spans="1:19" x14ac:dyDescent="0.25">
      <c r="A39" s="43"/>
      <c r="B39" s="43" t="s">
        <v>29</v>
      </c>
      <c r="C39" s="30"/>
      <c r="D39" s="30"/>
      <c r="E39" s="38"/>
      <c r="G39" s="7"/>
      <c r="H39" s="7"/>
      <c r="I39" s="37"/>
      <c r="J39" s="37"/>
      <c r="K39" s="37"/>
      <c r="L39" s="37"/>
      <c r="M39" s="37"/>
      <c r="N39" s="37"/>
      <c r="O39" s="37"/>
      <c r="P39" s="37"/>
      <c r="Q39" s="37"/>
      <c r="R39" s="7"/>
      <c r="S39" s="29">
        <f t="shared" si="1"/>
        <v>0</v>
      </c>
    </row>
    <row r="40" spans="1:19" x14ac:dyDescent="0.25">
      <c r="A40" s="32"/>
      <c r="B40" s="32"/>
      <c r="C40" s="30"/>
      <c r="D40" s="30"/>
      <c r="E40" s="38"/>
      <c r="G40" s="7"/>
      <c r="H40" s="7"/>
      <c r="I40" s="7"/>
      <c r="J40" s="37"/>
      <c r="K40" s="7"/>
      <c r="L40" s="37"/>
      <c r="M40" s="7"/>
      <c r="N40" s="7"/>
      <c r="O40" s="7"/>
      <c r="P40" s="7"/>
      <c r="Q40" s="7"/>
      <c r="R40" s="7"/>
      <c r="S40" s="29">
        <f t="shared" si="1"/>
        <v>0</v>
      </c>
    </row>
    <row r="41" spans="1:19" x14ac:dyDescent="0.25">
      <c r="A41" s="32"/>
      <c r="B41" s="38" t="s">
        <v>12</v>
      </c>
      <c r="C41" s="30"/>
      <c r="D41" s="30"/>
      <c r="E41" s="38"/>
      <c r="F41" s="58">
        <f>SUM(H41:L41)</f>
        <v>65087000</v>
      </c>
      <c r="G41" s="7"/>
      <c r="H41" s="36">
        <v>19626000</v>
      </c>
      <c r="I41" s="33"/>
      <c r="J41" s="36">
        <v>35356000</v>
      </c>
      <c r="K41" s="33"/>
      <c r="L41" s="36">
        <v>10105000</v>
      </c>
      <c r="M41" s="33"/>
      <c r="N41" s="36">
        <v>39735000</v>
      </c>
      <c r="O41" s="33"/>
      <c r="P41" s="36">
        <v>25433000</v>
      </c>
      <c r="Q41" s="33"/>
      <c r="R41" s="36">
        <v>81000</v>
      </c>
      <c r="S41" s="29">
        <f t="shared" si="1"/>
        <v>0</v>
      </c>
    </row>
    <row r="42" spans="1:19" x14ac:dyDescent="0.25">
      <c r="A42" s="32"/>
      <c r="C42" s="30"/>
      <c r="D42" s="30"/>
      <c r="E42" s="38"/>
      <c r="G42" s="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29">
        <f t="shared" si="1"/>
        <v>0</v>
      </c>
    </row>
    <row r="43" spans="1:19" x14ac:dyDescent="0.25">
      <c r="A43" s="32"/>
      <c r="B43" s="32" t="s">
        <v>23</v>
      </c>
      <c r="E43" s="34"/>
      <c r="F43" s="58">
        <f>SUM(H43:L43)</f>
        <v>905000</v>
      </c>
      <c r="G43" s="7"/>
      <c r="H43" s="36">
        <v>6000</v>
      </c>
      <c r="I43" s="33"/>
      <c r="J43" s="36">
        <v>303000</v>
      </c>
      <c r="K43" s="33"/>
      <c r="L43" s="36">
        <v>596000</v>
      </c>
      <c r="M43" s="33"/>
      <c r="N43" s="36">
        <v>452000</v>
      </c>
      <c r="O43" s="33"/>
      <c r="P43" s="36">
        <v>453000</v>
      </c>
      <c r="Q43" s="33"/>
      <c r="R43" s="36">
        <v>0</v>
      </c>
      <c r="S43" s="29">
        <f t="shared" si="1"/>
        <v>0</v>
      </c>
    </row>
    <row r="44" spans="1:19" x14ac:dyDescent="0.25">
      <c r="A44" s="32"/>
      <c r="C44" s="30"/>
      <c r="D44" s="30"/>
      <c r="E44" s="38"/>
      <c r="G44" s="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29">
        <f t="shared" si="1"/>
        <v>0</v>
      </c>
    </row>
    <row r="45" spans="1:19" x14ac:dyDescent="0.25">
      <c r="A45" s="32"/>
      <c r="B45" s="32" t="s">
        <v>25</v>
      </c>
      <c r="C45" s="30"/>
      <c r="D45" s="30"/>
      <c r="E45" s="38"/>
      <c r="F45" s="58">
        <f>SUM(H45:L45)</f>
        <v>914000</v>
      </c>
      <c r="G45" s="7"/>
      <c r="H45" s="36">
        <v>0</v>
      </c>
      <c r="I45" s="33"/>
      <c r="J45" s="36">
        <f>349000+1000</f>
        <v>350000</v>
      </c>
      <c r="K45" s="33"/>
      <c r="L45" s="36">
        <f>565000-1000</f>
        <v>564000</v>
      </c>
      <c r="M45" s="33"/>
      <c r="N45" s="36">
        <v>527000</v>
      </c>
      <c r="O45" s="33"/>
      <c r="P45" s="36">
        <v>387000</v>
      </c>
      <c r="Q45" s="33"/>
      <c r="R45" s="36">
        <v>0</v>
      </c>
      <c r="S45" s="29">
        <f t="shared" si="1"/>
        <v>0</v>
      </c>
    </row>
    <row r="46" spans="1:19" x14ac:dyDescent="0.25">
      <c r="A46" s="32"/>
      <c r="B46" s="32"/>
      <c r="C46" s="30"/>
      <c r="D46" s="30"/>
      <c r="E46" s="38"/>
      <c r="G46" s="7"/>
      <c r="H46" s="7"/>
      <c r="I46" s="37"/>
      <c r="J46" s="37"/>
      <c r="K46" s="37"/>
      <c r="L46" s="37"/>
      <c r="M46" s="37"/>
      <c r="N46" s="37"/>
      <c r="O46" s="37"/>
      <c r="P46" s="37"/>
      <c r="Q46" s="37"/>
      <c r="R46" s="7"/>
      <c r="S46" s="29">
        <f t="shared" si="1"/>
        <v>0</v>
      </c>
    </row>
    <row r="47" spans="1:19" x14ac:dyDescent="0.25">
      <c r="B47" s="32" t="s">
        <v>30</v>
      </c>
      <c r="F47" s="58">
        <f>SUM(H47:L47)</f>
        <v>19735000</v>
      </c>
      <c r="G47" s="7"/>
      <c r="H47" s="36">
        <v>2000</v>
      </c>
      <c r="I47" s="33"/>
      <c r="J47" s="36">
        <v>17229000</v>
      </c>
      <c r="K47" s="33"/>
      <c r="L47" s="36">
        <v>2504000</v>
      </c>
      <c r="M47" s="33"/>
      <c r="N47" s="36">
        <v>9925000</v>
      </c>
      <c r="O47" s="33"/>
      <c r="P47" s="36">
        <v>10336000</v>
      </c>
      <c r="Q47" s="33"/>
      <c r="R47" s="36">
        <f>525000+1000</f>
        <v>526000</v>
      </c>
      <c r="S47" s="29">
        <f t="shared" si="1"/>
        <v>0</v>
      </c>
    </row>
    <row r="48" spans="1:19" x14ac:dyDescent="0.25"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9">
        <f t="shared" si="1"/>
        <v>0</v>
      </c>
    </row>
    <row r="49" spans="1:19" x14ac:dyDescent="0.25">
      <c r="E49" s="30" t="s">
        <v>31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9">
        <f t="shared" si="1"/>
        <v>0</v>
      </c>
    </row>
    <row r="50" spans="1:19" x14ac:dyDescent="0.25">
      <c r="E50" s="30" t="s">
        <v>32</v>
      </c>
      <c r="F50" s="58">
        <f>SUM(H50:L50)</f>
        <v>86641000</v>
      </c>
      <c r="G50" s="18">
        <v>0</v>
      </c>
      <c r="H50" s="58">
        <f>+H41+H43+H45+H47</f>
        <v>19634000</v>
      </c>
      <c r="I50" s="18"/>
      <c r="J50" s="58">
        <f>+J41+J43+J45+J47</f>
        <v>53238000</v>
      </c>
      <c r="K50" s="18"/>
      <c r="L50" s="58">
        <f>+L41+L43+L45+L47</f>
        <v>13769000</v>
      </c>
      <c r="M50" s="18"/>
      <c r="N50" s="58">
        <f>+N41+N43+N45+N47</f>
        <v>50639000</v>
      </c>
      <c r="O50" s="18"/>
      <c r="P50" s="58">
        <f>+P41+P43+P45+P47</f>
        <v>36609000</v>
      </c>
      <c r="Q50" s="18">
        <v>0</v>
      </c>
      <c r="R50" s="58">
        <f>+R41+R43+R45+R47</f>
        <v>607000</v>
      </c>
      <c r="S50" s="29">
        <f t="shared" si="1"/>
        <v>0</v>
      </c>
    </row>
    <row r="51" spans="1:19" x14ac:dyDescent="0.25">
      <c r="A51" s="31"/>
      <c r="B51" s="31"/>
      <c r="C51" s="32"/>
      <c r="D51" s="32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9">
        <f t="shared" si="1"/>
        <v>0</v>
      </c>
    </row>
    <row r="52" spans="1:19" x14ac:dyDescent="0.25">
      <c r="A52" s="43" t="s">
        <v>33</v>
      </c>
      <c r="B52" s="31"/>
      <c r="C52" s="32"/>
      <c r="D52" s="32"/>
      <c r="E52" s="32"/>
      <c r="G52" s="7"/>
      <c r="H52" s="7"/>
      <c r="I52" s="37"/>
      <c r="J52" s="7"/>
      <c r="K52" s="37"/>
      <c r="L52" s="7"/>
      <c r="M52" s="37"/>
      <c r="N52" s="37"/>
      <c r="O52" s="37"/>
      <c r="P52" s="37"/>
      <c r="Q52" s="37"/>
      <c r="R52" s="7"/>
      <c r="S52" s="29">
        <f t="shared" si="1"/>
        <v>0</v>
      </c>
    </row>
    <row r="53" spans="1:19" x14ac:dyDescent="0.25">
      <c r="A53" s="32"/>
      <c r="B53" s="32"/>
      <c r="C53" s="30"/>
      <c r="D53" s="30"/>
      <c r="G53" s="7"/>
      <c r="H53" s="7"/>
      <c r="I53" s="37"/>
      <c r="J53" s="37"/>
      <c r="K53" s="37"/>
      <c r="L53" s="37"/>
      <c r="M53" s="37"/>
      <c r="N53" s="37"/>
      <c r="O53" s="37"/>
      <c r="P53" s="37"/>
      <c r="Q53" s="37"/>
      <c r="R53" s="7"/>
      <c r="S53" s="29">
        <f t="shared" si="1"/>
        <v>0</v>
      </c>
    </row>
    <row r="54" spans="1:19" x14ac:dyDescent="0.25">
      <c r="A54" s="32"/>
      <c r="B54" s="32" t="s">
        <v>12</v>
      </c>
      <c r="C54" s="30"/>
      <c r="D54" s="30"/>
      <c r="G54" s="7"/>
      <c r="H54" s="7"/>
      <c r="I54" s="37"/>
      <c r="J54" s="37"/>
      <c r="K54" s="37"/>
      <c r="L54" s="37"/>
      <c r="M54" s="37"/>
      <c r="N54" s="37"/>
      <c r="O54" s="37"/>
      <c r="P54" s="37"/>
      <c r="Q54" s="37"/>
      <c r="R54" s="7"/>
      <c r="S54" s="29">
        <f t="shared" si="1"/>
        <v>0</v>
      </c>
    </row>
    <row r="55" spans="1:19" x14ac:dyDescent="0.25">
      <c r="A55" s="32"/>
      <c r="B55" s="32"/>
      <c r="C55" s="30" t="s">
        <v>34</v>
      </c>
      <c r="D55" s="30"/>
      <c r="E55" s="34"/>
      <c r="F55" s="18">
        <f>SUM(H55:L55)</f>
        <v>5857000</v>
      </c>
      <c r="G55" s="35"/>
      <c r="H55" s="33">
        <v>4891000</v>
      </c>
      <c r="I55" s="57"/>
      <c r="J55" s="33">
        <v>285000</v>
      </c>
      <c r="K55" s="57"/>
      <c r="L55" s="33">
        <v>681000</v>
      </c>
      <c r="M55" s="57"/>
      <c r="N55" s="33">
        <f>3629000-1000</f>
        <v>3628000</v>
      </c>
      <c r="O55" s="57"/>
      <c r="P55" s="33">
        <v>2229000</v>
      </c>
      <c r="Q55" s="57"/>
      <c r="R55" s="33">
        <v>0</v>
      </c>
      <c r="S55" s="29">
        <f t="shared" si="1"/>
        <v>0</v>
      </c>
    </row>
    <row r="56" spans="1:19" x14ac:dyDescent="0.25">
      <c r="A56" s="32"/>
      <c r="B56" s="32"/>
      <c r="C56" s="30" t="s">
        <v>35</v>
      </c>
      <c r="D56" s="30"/>
      <c r="E56" s="34"/>
      <c r="F56" s="18">
        <f>SUM(H56:L56)</f>
        <v>17708000</v>
      </c>
      <c r="G56" s="35"/>
      <c r="H56" s="33">
        <v>14368000</v>
      </c>
      <c r="I56" s="57"/>
      <c r="J56" s="33">
        <v>1864000</v>
      </c>
      <c r="K56" s="57"/>
      <c r="L56" s="33">
        <f>1475000+1000</f>
        <v>1476000</v>
      </c>
      <c r="M56" s="57"/>
      <c r="N56" s="33">
        <f>10806000</f>
        <v>10806000</v>
      </c>
      <c r="O56" s="57"/>
      <c r="P56" s="33">
        <v>6902000</v>
      </c>
      <c r="Q56" s="57"/>
      <c r="R56" s="33">
        <v>0</v>
      </c>
      <c r="S56" s="29">
        <f t="shared" si="1"/>
        <v>0</v>
      </c>
    </row>
    <row r="57" spans="1:19" x14ac:dyDescent="0.25">
      <c r="A57" s="32"/>
      <c r="B57" s="32"/>
      <c r="C57" s="30" t="s">
        <v>36</v>
      </c>
      <c r="D57" s="30"/>
      <c r="E57" s="34"/>
      <c r="F57" s="58">
        <f>SUM(H57:L57)</f>
        <v>8240000</v>
      </c>
      <c r="G57" s="7"/>
      <c r="H57" s="36">
        <v>6203000</v>
      </c>
      <c r="I57" s="33"/>
      <c r="J57" s="36">
        <v>647000</v>
      </c>
      <c r="K57" s="33"/>
      <c r="L57" s="36">
        <v>1390000</v>
      </c>
      <c r="M57" s="33"/>
      <c r="N57" s="36">
        <v>3945000</v>
      </c>
      <c r="O57" s="33"/>
      <c r="P57" s="36">
        <v>4295000</v>
      </c>
      <c r="Q57" s="33"/>
      <c r="R57" s="36">
        <v>0</v>
      </c>
      <c r="S57" s="29">
        <f t="shared" si="1"/>
        <v>0</v>
      </c>
    </row>
    <row r="58" spans="1:19" x14ac:dyDescent="0.25">
      <c r="A58" s="32"/>
      <c r="B58" s="32"/>
      <c r="C58" s="30"/>
      <c r="D58" s="30"/>
      <c r="G58" s="7"/>
      <c r="H58" s="7"/>
      <c r="I58" s="44"/>
      <c r="J58" s="37"/>
      <c r="K58" s="44"/>
      <c r="L58" s="37"/>
      <c r="M58" s="44"/>
      <c r="N58" s="37"/>
      <c r="O58" s="44"/>
      <c r="P58" s="44"/>
      <c r="Q58" s="44"/>
      <c r="R58" s="7"/>
      <c r="S58" s="29">
        <f t="shared" si="1"/>
        <v>0</v>
      </c>
    </row>
    <row r="59" spans="1:19" x14ac:dyDescent="0.25">
      <c r="A59" s="32"/>
      <c r="B59" s="32"/>
      <c r="C59" s="30"/>
      <c r="D59" s="30"/>
      <c r="E59" s="30" t="s">
        <v>2</v>
      </c>
      <c r="F59" s="58">
        <f>SUM(H59:L59)</f>
        <v>31805000</v>
      </c>
      <c r="G59" s="7"/>
      <c r="H59" s="58">
        <f>SUM(H55:H58)</f>
        <v>25462000</v>
      </c>
      <c r="I59" s="18"/>
      <c r="J59" s="58">
        <f>SUM(J55:J58)</f>
        <v>2796000</v>
      </c>
      <c r="K59" s="18"/>
      <c r="L59" s="58">
        <f>SUM(L55:L58)</f>
        <v>3547000</v>
      </c>
      <c r="M59" s="18"/>
      <c r="N59" s="58">
        <f>SUM(N55:N58)</f>
        <v>18379000</v>
      </c>
      <c r="O59" s="18"/>
      <c r="P59" s="58">
        <f>SUM(P55:P58)</f>
        <v>13426000</v>
      </c>
      <c r="Q59" s="18"/>
      <c r="R59" s="58">
        <f>SUM(R55:R58)</f>
        <v>0</v>
      </c>
      <c r="S59" s="29">
        <f t="shared" si="1"/>
        <v>0</v>
      </c>
    </row>
    <row r="60" spans="1:19" x14ac:dyDescent="0.25">
      <c r="A60" s="32"/>
      <c r="B60" s="32"/>
      <c r="C60" s="30"/>
      <c r="D60" s="30"/>
      <c r="G60" s="7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29">
        <f t="shared" si="1"/>
        <v>0</v>
      </c>
    </row>
    <row r="61" spans="1:19" x14ac:dyDescent="0.25">
      <c r="A61" s="32"/>
      <c r="B61" s="32" t="s">
        <v>23</v>
      </c>
      <c r="C61" s="30"/>
      <c r="D61" s="30"/>
      <c r="G61" s="7"/>
      <c r="H61" s="7"/>
      <c r="I61" s="7"/>
      <c r="J61" s="37"/>
      <c r="K61" s="7"/>
      <c r="L61" s="37"/>
      <c r="M61" s="7"/>
      <c r="N61" s="7"/>
      <c r="O61" s="7"/>
      <c r="P61" s="7"/>
      <c r="Q61" s="7"/>
      <c r="R61" s="7"/>
      <c r="S61" s="29">
        <f t="shared" si="1"/>
        <v>0</v>
      </c>
    </row>
    <row r="62" spans="1:19" x14ac:dyDescent="0.25">
      <c r="C62" s="30" t="s">
        <v>34</v>
      </c>
      <c r="D62" s="30"/>
      <c r="E62" s="34"/>
      <c r="F62" s="18">
        <f>SUM(H62:L62)</f>
        <v>5958000</v>
      </c>
      <c r="G62" s="35"/>
      <c r="H62" s="33">
        <v>103000</v>
      </c>
      <c r="I62" s="57"/>
      <c r="J62" s="33">
        <v>152000</v>
      </c>
      <c r="K62" s="57"/>
      <c r="L62" s="33">
        <v>5703000</v>
      </c>
      <c r="M62" s="57"/>
      <c r="N62" s="33">
        <v>2605000</v>
      </c>
      <c r="O62" s="57"/>
      <c r="P62" s="33">
        <v>3353000</v>
      </c>
      <c r="Q62" s="57"/>
      <c r="R62" s="33">
        <v>0</v>
      </c>
      <c r="S62" s="29">
        <f t="shared" si="1"/>
        <v>0</v>
      </c>
    </row>
    <row r="63" spans="1:19" x14ac:dyDescent="0.25">
      <c r="C63" s="30" t="s">
        <v>35</v>
      </c>
      <c r="D63" s="30"/>
      <c r="E63" s="34"/>
      <c r="F63" s="18">
        <f>SUM(H63:L63)</f>
        <v>18779000</v>
      </c>
      <c r="G63" s="35"/>
      <c r="H63" s="33">
        <v>207000</v>
      </c>
      <c r="I63" s="57"/>
      <c r="J63" s="33">
        <v>738000</v>
      </c>
      <c r="K63" s="57"/>
      <c r="L63" s="33">
        <v>17834000</v>
      </c>
      <c r="M63" s="57"/>
      <c r="N63" s="33">
        <f>8628000-1000</f>
        <v>8627000</v>
      </c>
      <c r="O63" s="57"/>
      <c r="P63" s="33">
        <v>10152000</v>
      </c>
      <c r="Q63" s="57"/>
      <c r="R63" s="33">
        <v>0</v>
      </c>
      <c r="S63" s="29">
        <f t="shared" si="1"/>
        <v>0</v>
      </c>
    </row>
    <row r="64" spans="1:19" x14ac:dyDescent="0.25">
      <c r="A64" s="31"/>
      <c r="B64" s="31"/>
      <c r="C64" s="30" t="s">
        <v>36</v>
      </c>
      <c r="D64" s="30"/>
      <c r="E64" s="34"/>
      <c r="F64" s="58">
        <f>SUM(H64:L64)</f>
        <v>407000</v>
      </c>
      <c r="G64" s="7"/>
      <c r="H64" s="36">
        <f>304000+1000</f>
        <v>305000</v>
      </c>
      <c r="I64" s="33"/>
      <c r="J64" s="36">
        <v>0</v>
      </c>
      <c r="K64" s="33"/>
      <c r="L64" s="36">
        <v>102000</v>
      </c>
      <c r="M64" s="33"/>
      <c r="N64" s="36">
        <v>1000</v>
      </c>
      <c r="O64" s="33"/>
      <c r="P64" s="36">
        <f>406000</f>
        <v>406000</v>
      </c>
      <c r="Q64" s="33"/>
      <c r="R64" s="36">
        <v>0</v>
      </c>
      <c r="S64" s="29">
        <f t="shared" si="1"/>
        <v>0</v>
      </c>
    </row>
    <row r="65" spans="1:19" x14ac:dyDescent="0.25">
      <c r="A65" s="32"/>
      <c r="B65" s="32"/>
      <c r="C65" s="30"/>
      <c r="D65" s="30"/>
      <c r="G65" s="7"/>
      <c r="H65" s="7"/>
      <c r="I65" s="7"/>
      <c r="J65" s="7"/>
      <c r="K65" s="7"/>
      <c r="L65" s="44"/>
      <c r="M65" s="7"/>
      <c r="N65" s="7"/>
      <c r="O65" s="7"/>
      <c r="P65" s="7"/>
      <c r="Q65" s="7"/>
      <c r="R65" s="7"/>
      <c r="S65" s="29">
        <f t="shared" si="1"/>
        <v>0</v>
      </c>
    </row>
    <row r="66" spans="1:19" x14ac:dyDescent="0.25">
      <c r="A66" s="32"/>
      <c r="B66" s="32"/>
      <c r="C66" s="30"/>
      <c r="D66" s="30"/>
      <c r="E66" s="30" t="s">
        <v>2</v>
      </c>
      <c r="F66" s="58">
        <f>SUM(H66:L66)</f>
        <v>25144000</v>
      </c>
      <c r="G66" s="7"/>
      <c r="H66" s="58">
        <f>SUM(H62:H65)</f>
        <v>615000</v>
      </c>
      <c r="I66" s="18"/>
      <c r="J66" s="58">
        <f>SUM(J62:J65)</f>
        <v>890000</v>
      </c>
      <c r="K66" s="18"/>
      <c r="L66" s="58">
        <f>SUM(L62:L65)</f>
        <v>23639000</v>
      </c>
      <c r="M66" s="18"/>
      <c r="N66" s="58">
        <f>SUM(N62:N65)</f>
        <v>11233000</v>
      </c>
      <c r="O66" s="18"/>
      <c r="P66" s="58">
        <f>SUM(P62:P65)</f>
        <v>13911000</v>
      </c>
      <c r="Q66" s="18"/>
      <c r="R66" s="58">
        <f>SUM(R62:R65)</f>
        <v>0</v>
      </c>
      <c r="S66" s="29">
        <f t="shared" si="1"/>
        <v>0</v>
      </c>
    </row>
    <row r="67" spans="1:19" x14ac:dyDescent="0.25">
      <c r="A67" s="32"/>
      <c r="B67" s="32"/>
      <c r="C67" s="30"/>
      <c r="D67" s="30"/>
      <c r="G67" s="7"/>
      <c r="H67" s="7"/>
      <c r="I67" s="37"/>
      <c r="J67" s="37"/>
      <c r="K67" s="37"/>
      <c r="L67" s="37"/>
      <c r="M67" s="37"/>
      <c r="N67" s="37"/>
      <c r="O67" s="37"/>
      <c r="P67" s="37"/>
      <c r="Q67" s="37"/>
      <c r="R67" s="7"/>
      <c r="S67" s="29">
        <f t="shared" si="1"/>
        <v>0</v>
      </c>
    </row>
    <row r="68" spans="1:19" x14ac:dyDescent="0.25">
      <c r="A68" s="32"/>
      <c r="B68" s="32" t="s">
        <v>30</v>
      </c>
      <c r="C68" s="30"/>
      <c r="D68" s="30"/>
      <c r="F68" s="58">
        <f>SUM(H68:L68)</f>
        <v>145000</v>
      </c>
      <c r="G68" s="7"/>
      <c r="H68" s="36">
        <v>0</v>
      </c>
      <c r="I68" s="33"/>
      <c r="J68" s="36">
        <v>145000</v>
      </c>
      <c r="K68" s="33"/>
      <c r="L68" s="36">
        <v>0</v>
      </c>
      <c r="M68" s="33"/>
      <c r="N68" s="36">
        <v>2235000</v>
      </c>
      <c r="O68" s="33"/>
      <c r="P68" s="36">
        <v>2410000</v>
      </c>
      <c r="Q68" s="33"/>
      <c r="R68" s="36">
        <f>4501000-1000</f>
        <v>4500000</v>
      </c>
      <c r="S68" s="29">
        <f t="shared" si="1"/>
        <v>0</v>
      </c>
    </row>
    <row r="69" spans="1:19" x14ac:dyDescent="0.25">
      <c r="A69" s="32"/>
      <c r="B69" s="32"/>
      <c r="C69" s="30"/>
      <c r="D69" s="30"/>
      <c r="G69" s="7"/>
      <c r="H69" s="7"/>
      <c r="I69" s="37"/>
      <c r="J69" s="37"/>
      <c r="K69" s="37"/>
      <c r="L69" s="37"/>
      <c r="M69" s="37"/>
      <c r="N69" s="37"/>
      <c r="O69" s="37"/>
      <c r="P69" s="37"/>
      <c r="Q69" s="37"/>
      <c r="R69" s="7"/>
      <c r="S69" s="29">
        <f t="shared" si="1"/>
        <v>0</v>
      </c>
    </row>
    <row r="70" spans="1:19" x14ac:dyDescent="0.25">
      <c r="A70" s="32"/>
      <c r="B70" s="32"/>
      <c r="C70" s="30"/>
      <c r="D70" s="30"/>
      <c r="E70" s="30" t="s">
        <v>37</v>
      </c>
      <c r="F70" s="58">
        <f>SUM(H70:L70)</f>
        <v>57094000</v>
      </c>
      <c r="G70" s="7"/>
      <c r="H70" s="58">
        <f>+H59+H66+H68</f>
        <v>26077000</v>
      </c>
      <c r="I70" s="7"/>
      <c r="J70" s="58">
        <f>+J59+J66+J68</f>
        <v>3831000</v>
      </c>
      <c r="K70" s="7"/>
      <c r="L70" s="58">
        <f>+L59+L66+L68</f>
        <v>27186000</v>
      </c>
      <c r="M70" s="7"/>
      <c r="N70" s="58">
        <f>+N59+N66+N68</f>
        <v>31847000</v>
      </c>
      <c r="O70" s="7"/>
      <c r="P70" s="58">
        <f>+P59+P66+P68</f>
        <v>29747000</v>
      </c>
      <c r="Q70" s="7"/>
      <c r="R70" s="58">
        <f>+R59+R66+R68</f>
        <v>4500000</v>
      </c>
      <c r="S70" s="29">
        <f t="shared" si="1"/>
        <v>0</v>
      </c>
    </row>
    <row r="71" spans="1:19" x14ac:dyDescent="0.25">
      <c r="A71" s="32"/>
      <c r="B71" s="32"/>
      <c r="C71" s="30"/>
      <c r="D71" s="30"/>
      <c r="G71" s="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7"/>
      <c r="S71" s="29">
        <f t="shared" si="1"/>
        <v>0</v>
      </c>
    </row>
    <row r="72" spans="1:19" x14ac:dyDescent="0.25">
      <c r="A72" s="43" t="s">
        <v>38</v>
      </c>
      <c r="B72" s="32"/>
      <c r="C72" s="30"/>
      <c r="D72" s="30"/>
      <c r="G72" s="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7"/>
      <c r="S72" s="29">
        <f t="shared" ref="S72:S134" si="3">+F72-N72-P72+R72</f>
        <v>0</v>
      </c>
    </row>
    <row r="73" spans="1:19" x14ac:dyDescent="0.25">
      <c r="A73" s="32"/>
      <c r="B73" s="32"/>
      <c r="C73" s="30"/>
      <c r="D73" s="30"/>
      <c r="G73" s="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7"/>
      <c r="S73" s="29">
        <f t="shared" si="3"/>
        <v>0</v>
      </c>
    </row>
    <row r="74" spans="1:19" x14ac:dyDescent="0.25">
      <c r="A74" s="32"/>
      <c r="B74" s="32" t="s">
        <v>12</v>
      </c>
      <c r="C74" s="30"/>
      <c r="D74" s="30"/>
      <c r="F74" s="58">
        <f>SUM(H74:L74)</f>
        <v>12063000</v>
      </c>
      <c r="G74" s="7"/>
      <c r="H74" s="36">
        <f>10664000-1000</f>
        <v>10663000</v>
      </c>
      <c r="I74" s="33"/>
      <c r="J74" s="36">
        <v>741000</v>
      </c>
      <c r="K74" s="33"/>
      <c r="L74" s="36">
        <v>659000</v>
      </c>
      <c r="M74" s="33"/>
      <c r="N74" s="36">
        <v>8243000</v>
      </c>
      <c r="O74" s="33"/>
      <c r="P74" s="36">
        <v>3820000</v>
      </c>
      <c r="Q74" s="33"/>
      <c r="R74" s="36">
        <v>0</v>
      </c>
      <c r="S74" s="29">
        <f t="shared" si="3"/>
        <v>0</v>
      </c>
    </row>
    <row r="75" spans="1:19" x14ac:dyDescent="0.25">
      <c r="A75" s="32"/>
      <c r="B75" s="32"/>
      <c r="C75" s="30"/>
      <c r="D75" s="30"/>
      <c r="G75" s="7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29">
        <f t="shared" si="3"/>
        <v>0</v>
      </c>
    </row>
    <row r="76" spans="1:19" x14ac:dyDescent="0.25">
      <c r="B76" s="38" t="s">
        <v>23</v>
      </c>
      <c r="F76" s="58">
        <f>SUM(H76:L76)</f>
        <v>7853000</v>
      </c>
      <c r="G76" s="7"/>
      <c r="H76" s="36">
        <v>5000</v>
      </c>
      <c r="I76" s="33"/>
      <c r="J76" s="36">
        <v>32000</v>
      </c>
      <c r="K76" s="33"/>
      <c r="L76" s="36">
        <v>7816000</v>
      </c>
      <c r="M76" s="33"/>
      <c r="N76" s="36">
        <v>3433000</v>
      </c>
      <c r="O76" s="33"/>
      <c r="P76" s="36">
        <f>4421000-1000</f>
        <v>4420000</v>
      </c>
      <c r="Q76" s="33"/>
      <c r="R76" s="36">
        <v>0</v>
      </c>
      <c r="S76" s="29">
        <f t="shared" si="3"/>
        <v>0</v>
      </c>
    </row>
    <row r="77" spans="1:19" x14ac:dyDescent="0.25"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9">
        <f t="shared" si="3"/>
        <v>0</v>
      </c>
    </row>
    <row r="78" spans="1:19" x14ac:dyDescent="0.25">
      <c r="A78" s="31"/>
      <c r="B78" s="17" t="s">
        <v>25</v>
      </c>
      <c r="C78" s="32"/>
      <c r="D78" s="32"/>
      <c r="F78" s="18">
        <f>SUM(H78:L78)</f>
        <v>4046000</v>
      </c>
      <c r="G78" s="7"/>
      <c r="H78" s="33">
        <v>788000</v>
      </c>
      <c r="I78" s="57"/>
      <c r="J78" s="33">
        <v>1974000</v>
      </c>
      <c r="K78" s="57"/>
      <c r="L78" s="33">
        <v>1284000</v>
      </c>
      <c r="M78" s="57"/>
      <c r="N78" s="33">
        <v>2576000</v>
      </c>
      <c r="O78" s="57"/>
      <c r="P78" s="33">
        <v>1470000</v>
      </c>
      <c r="Q78" s="7"/>
      <c r="R78" s="7">
        <v>0</v>
      </c>
      <c r="S78" s="29">
        <f t="shared" si="3"/>
        <v>0</v>
      </c>
    </row>
    <row r="79" spans="1:19" x14ac:dyDescent="0.25">
      <c r="F79" s="3"/>
      <c r="G79" s="7"/>
      <c r="H79" s="4"/>
      <c r="I79" s="7"/>
      <c r="J79" s="4"/>
      <c r="K79" s="7"/>
      <c r="L79" s="4"/>
      <c r="M79" s="7"/>
      <c r="N79" s="4"/>
      <c r="O79" s="7"/>
      <c r="P79" s="4"/>
      <c r="Q79" s="7"/>
      <c r="R79" s="4"/>
      <c r="S79" s="29">
        <f t="shared" si="3"/>
        <v>0</v>
      </c>
    </row>
    <row r="80" spans="1:19" x14ac:dyDescent="0.25">
      <c r="A80" s="32"/>
      <c r="B80" s="17" t="s">
        <v>30</v>
      </c>
      <c r="C80" s="30"/>
      <c r="D80" s="30"/>
      <c r="F80" s="58">
        <f>SUM(H80:L80)</f>
        <v>165000</v>
      </c>
      <c r="G80" s="7"/>
      <c r="H80" s="36">
        <v>165000</v>
      </c>
      <c r="I80" s="33"/>
      <c r="J80" s="36">
        <v>0</v>
      </c>
      <c r="K80" s="33"/>
      <c r="L80" s="36">
        <v>0</v>
      </c>
      <c r="M80" s="33"/>
      <c r="N80" s="36">
        <v>117000</v>
      </c>
      <c r="O80" s="33"/>
      <c r="P80" s="36">
        <v>48000</v>
      </c>
      <c r="Q80" s="33"/>
      <c r="R80" s="36">
        <v>0</v>
      </c>
      <c r="S80" s="29">
        <f t="shared" si="3"/>
        <v>0</v>
      </c>
    </row>
    <row r="81" spans="1:19" x14ac:dyDescent="0.25">
      <c r="A81" s="32"/>
      <c r="B81" s="32"/>
      <c r="C81" s="30"/>
      <c r="D81" s="30"/>
      <c r="G81" s="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7"/>
      <c r="S81" s="29">
        <f t="shared" si="3"/>
        <v>0</v>
      </c>
    </row>
    <row r="82" spans="1:19" x14ac:dyDescent="0.25">
      <c r="A82" s="32"/>
      <c r="B82" s="32"/>
      <c r="C82" s="30"/>
      <c r="D82" s="30"/>
      <c r="E82" s="30" t="s">
        <v>39</v>
      </c>
      <c r="F82" s="58">
        <f>SUM(H82:L82)</f>
        <v>24127000</v>
      </c>
      <c r="G82" s="7"/>
      <c r="H82" s="58">
        <f>+H74+H76+H78+H80</f>
        <v>11621000</v>
      </c>
      <c r="I82" s="18"/>
      <c r="J82" s="58">
        <f>+J74+J76+J78+J80</f>
        <v>2747000</v>
      </c>
      <c r="K82" s="18"/>
      <c r="L82" s="58">
        <f>+L74+L76+L78+L80</f>
        <v>9759000</v>
      </c>
      <c r="M82" s="18"/>
      <c r="N82" s="58">
        <f>+N74+N76+N78+N80</f>
        <v>14369000</v>
      </c>
      <c r="O82" s="18"/>
      <c r="P82" s="58">
        <f>+P74+P76+P78+P80</f>
        <v>9758000</v>
      </c>
      <c r="Q82" s="18"/>
      <c r="R82" s="58">
        <f>+R74+R76+R78+R80</f>
        <v>0</v>
      </c>
      <c r="S82" s="29">
        <f t="shared" si="3"/>
        <v>0</v>
      </c>
    </row>
    <row r="83" spans="1:19" x14ac:dyDescent="0.25"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9">
        <f t="shared" si="3"/>
        <v>0</v>
      </c>
    </row>
    <row r="84" spans="1:19" x14ac:dyDescent="0.25">
      <c r="A84" s="22" t="s">
        <v>40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9">
        <f t="shared" si="3"/>
        <v>0</v>
      </c>
    </row>
    <row r="85" spans="1:19" x14ac:dyDescent="0.25"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9">
        <f t="shared" si="3"/>
        <v>0</v>
      </c>
    </row>
    <row r="86" spans="1:19" x14ac:dyDescent="0.25">
      <c r="A86" s="31"/>
      <c r="B86" s="17" t="s">
        <v>12</v>
      </c>
      <c r="C86" s="32"/>
      <c r="D86" s="32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9">
        <f t="shared" si="3"/>
        <v>0</v>
      </c>
    </row>
    <row r="87" spans="1:19" x14ac:dyDescent="0.25">
      <c r="A87" s="31"/>
      <c r="B87" s="17"/>
      <c r="C87" s="32" t="s">
        <v>41</v>
      </c>
      <c r="D87" s="32"/>
      <c r="F87" s="18">
        <f>SUM(H87:L87)</f>
        <v>5652000</v>
      </c>
      <c r="G87" s="35"/>
      <c r="H87" s="33">
        <v>4699000</v>
      </c>
      <c r="I87" s="57"/>
      <c r="J87" s="33">
        <v>659000</v>
      </c>
      <c r="K87" s="57"/>
      <c r="L87" s="33">
        <v>294000</v>
      </c>
      <c r="M87" s="57"/>
      <c r="N87" s="33">
        <v>3512000</v>
      </c>
      <c r="O87" s="57"/>
      <c r="P87" s="33">
        <v>2140000</v>
      </c>
      <c r="Q87" s="57"/>
      <c r="R87" s="33">
        <v>0</v>
      </c>
      <c r="S87" s="29">
        <f t="shared" si="3"/>
        <v>0</v>
      </c>
    </row>
    <row r="88" spans="1:19" x14ac:dyDescent="0.25">
      <c r="A88" s="32"/>
      <c r="B88" s="32"/>
      <c r="C88" s="30" t="s">
        <v>42</v>
      </c>
      <c r="D88" s="30"/>
      <c r="E88" s="34"/>
      <c r="F88" s="18">
        <f>SUM(H88:L88)</f>
        <v>12830000</v>
      </c>
      <c r="G88" s="35"/>
      <c r="H88" s="33">
        <v>11106000</v>
      </c>
      <c r="I88" s="57"/>
      <c r="J88" s="33">
        <v>590000</v>
      </c>
      <c r="K88" s="57"/>
      <c r="L88" s="33">
        <v>1134000</v>
      </c>
      <c r="M88" s="57"/>
      <c r="N88" s="33">
        <v>7972000</v>
      </c>
      <c r="O88" s="57"/>
      <c r="P88" s="33">
        <v>4935000</v>
      </c>
      <c r="Q88" s="57"/>
      <c r="R88" s="33">
        <v>77000</v>
      </c>
      <c r="S88" s="29">
        <f t="shared" si="3"/>
        <v>0</v>
      </c>
    </row>
    <row r="89" spans="1:19" x14ac:dyDescent="0.25">
      <c r="A89" s="32"/>
      <c r="B89" s="32"/>
      <c r="C89" s="30" t="s">
        <v>36</v>
      </c>
      <c r="D89" s="30"/>
      <c r="E89" s="34"/>
      <c r="F89" s="18">
        <f>SUM(H89:L89)</f>
        <v>8978000</v>
      </c>
      <c r="G89" s="35"/>
      <c r="H89" s="33">
        <v>4282000</v>
      </c>
      <c r="I89" s="57"/>
      <c r="J89" s="33">
        <v>2762000</v>
      </c>
      <c r="K89" s="57"/>
      <c r="L89" s="33">
        <v>1934000</v>
      </c>
      <c r="M89" s="57"/>
      <c r="N89" s="33">
        <v>4875000</v>
      </c>
      <c r="O89" s="57"/>
      <c r="P89" s="33">
        <v>4113000</v>
      </c>
      <c r="Q89" s="57"/>
      <c r="R89" s="33">
        <v>10000</v>
      </c>
      <c r="S89" s="29">
        <f t="shared" si="3"/>
        <v>0</v>
      </c>
    </row>
    <row r="90" spans="1:19" x14ac:dyDescent="0.25">
      <c r="A90" s="32"/>
      <c r="B90" s="32"/>
      <c r="C90" s="30" t="s">
        <v>43</v>
      </c>
      <c r="D90" s="30"/>
      <c r="E90" s="34"/>
      <c r="F90" s="18">
        <f>SUM(H90:L90)</f>
        <v>41000</v>
      </c>
      <c r="G90" s="35"/>
      <c r="H90" s="33">
        <v>0</v>
      </c>
      <c r="I90" s="57"/>
      <c r="J90" s="33">
        <v>0</v>
      </c>
      <c r="K90" s="57"/>
      <c r="L90" s="33">
        <v>41000</v>
      </c>
      <c r="M90" s="57"/>
      <c r="N90" s="33">
        <v>0</v>
      </c>
      <c r="O90" s="57"/>
      <c r="P90" s="33">
        <v>41000</v>
      </c>
      <c r="Q90" s="57"/>
      <c r="R90" s="33">
        <v>0</v>
      </c>
      <c r="S90" s="29">
        <f t="shared" si="3"/>
        <v>0</v>
      </c>
    </row>
    <row r="91" spans="1:19" x14ac:dyDescent="0.25">
      <c r="A91" s="32"/>
      <c r="B91" s="32"/>
      <c r="C91" s="30" t="s">
        <v>44</v>
      </c>
      <c r="D91" s="30"/>
      <c r="E91" s="34"/>
      <c r="G91" s="7"/>
      <c r="H91" s="40"/>
      <c r="I91" s="45"/>
      <c r="J91" s="40"/>
      <c r="K91" s="45"/>
      <c r="L91" s="40"/>
      <c r="M91" s="45"/>
      <c r="N91" s="40"/>
      <c r="O91" s="45"/>
      <c r="P91" s="40"/>
      <c r="Q91" s="45"/>
      <c r="R91" s="40"/>
      <c r="S91" s="29">
        <f t="shared" si="3"/>
        <v>0</v>
      </c>
    </row>
    <row r="92" spans="1:19" x14ac:dyDescent="0.25">
      <c r="A92" s="32"/>
      <c r="B92" s="32"/>
      <c r="C92" s="30"/>
      <c r="D92" s="30"/>
      <c r="E92" s="30" t="s">
        <v>45</v>
      </c>
      <c r="F92" s="18">
        <f>SUM(H92:L92)</f>
        <v>27431000</v>
      </c>
      <c r="G92" s="35"/>
      <c r="H92" s="33">
        <f>23074000+1000</f>
        <v>23075000</v>
      </c>
      <c r="I92" s="57"/>
      <c r="J92" s="33">
        <v>399000</v>
      </c>
      <c r="K92" s="57"/>
      <c r="L92" s="33">
        <v>3957000</v>
      </c>
      <c r="M92" s="57"/>
      <c r="N92" s="33">
        <v>16860000</v>
      </c>
      <c r="O92" s="57"/>
      <c r="P92" s="33">
        <v>10571000</v>
      </c>
      <c r="Q92" s="57"/>
      <c r="R92" s="33">
        <v>0</v>
      </c>
      <c r="S92" s="29">
        <f t="shared" si="3"/>
        <v>0</v>
      </c>
    </row>
    <row r="93" spans="1:19" x14ac:dyDescent="0.25">
      <c r="A93" s="32"/>
      <c r="B93" s="32"/>
      <c r="C93" s="30" t="s">
        <v>46</v>
      </c>
      <c r="D93" s="30"/>
      <c r="E93" s="34"/>
      <c r="F93" s="18">
        <f>SUM(H93:L93)</f>
        <v>129000</v>
      </c>
      <c r="G93" s="35"/>
      <c r="H93" s="33">
        <v>39000</v>
      </c>
      <c r="I93" s="57"/>
      <c r="J93" s="33">
        <v>0</v>
      </c>
      <c r="K93" s="57"/>
      <c r="L93" s="33">
        <v>90000</v>
      </c>
      <c r="M93" s="57"/>
      <c r="N93" s="33">
        <v>58000</v>
      </c>
      <c r="O93" s="57"/>
      <c r="P93" s="33">
        <v>71000</v>
      </c>
      <c r="Q93" s="57"/>
      <c r="R93" s="33">
        <v>0</v>
      </c>
      <c r="S93" s="29">
        <f t="shared" si="3"/>
        <v>0</v>
      </c>
    </row>
    <row r="94" spans="1:19" x14ac:dyDescent="0.25">
      <c r="A94" s="32"/>
      <c r="B94" s="32"/>
      <c r="C94" s="30" t="s">
        <v>47</v>
      </c>
      <c r="D94" s="30"/>
      <c r="E94" s="34"/>
      <c r="G94" s="7"/>
      <c r="H94" s="40"/>
      <c r="I94" s="45"/>
      <c r="J94" s="40"/>
      <c r="K94" s="45"/>
      <c r="L94" s="40"/>
      <c r="M94" s="45"/>
      <c r="N94" s="40"/>
      <c r="O94" s="45"/>
      <c r="P94" s="40"/>
      <c r="Q94" s="45"/>
      <c r="R94" s="40"/>
      <c r="S94" s="29">
        <f t="shared" si="3"/>
        <v>0</v>
      </c>
    </row>
    <row r="95" spans="1:19" x14ac:dyDescent="0.25">
      <c r="A95" s="32"/>
      <c r="B95" s="32"/>
      <c r="C95" s="30"/>
      <c r="D95" s="30"/>
      <c r="E95" s="30" t="s">
        <v>48</v>
      </c>
      <c r="F95" s="18">
        <f>SUM(H95:L95)</f>
        <v>4616000</v>
      </c>
      <c r="G95" s="35"/>
      <c r="H95" s="33">
        <v>4317000</v>
      </c>
      <c r="I95" s="57"/>
      <c r="J95" s="33">
        <v>84000</v>
      </c>
      <c r="K95" s="57"/>
      <c r="L95" s="33">
        <v>215000</v>
      </c>
      <c r="M95" s="57"/>
      <c r="N95" s="33">
        <f>3113000+1000</f>
        <v>3114000</v>
      </c>
      <c r="O95" s="57"/>
      <c r="P95" s="33">
        <v>1502000</v>
      </c>
      <c r="Q95" s="57"/>
      <c r="R95" s="33">
        <v>0</v>
      </c>
      <c r="S95" s="29">
        <f t="shared" si="3"/>
        <v>0</v>
      </c>
    </row>
    <row r="96" spans="1:19" x14ac:dyDescent="0.25">
      <c r="A96" s="32"/>
      <c r="B96" s="32"/>
      <c r="C96" s="30" t="s">
        <v>53</v>
      </c>
      <c r="D96" s="30"/>
      <c r="E96" s="34"/>
      <c r="G96" s="35"/>
      <c r="H96" s="33"/>
      <c r="I96" s="57"/>
      <c r="J96" s="33"/>
      <c r="K96" s="57"/>
      <c r="L96" s="33"/>
      <c r="M96" s="57"/>
      <c r="N96" s="33"/>
      <c r="O96" s="57"/>
      <c r="P96" s="33"/>
      <c r="Q96" s="57"/>
      <c r="R96" s="33"/>
      <c r="S96" s="29">
        <f t="shared" si="3"/>
        <v>0</v>
      </c>
    </row>
    <row r="97" spans="1:19" x14ac:dyDescent="0.25">
      <c r="A97" s="32"/>
      <c r="B97" s="32"/>
      <c r="C97" s="30"/>
      <c r="D97" s="30"/>
      <c r="E97" s="34" t="s">
        <v>54</v>
      </c>
      <c r="F97" s="18">
        <f>SUM(H97:L97)</f>
        <v>14000</v>
      </c>
      <c r="G97" s="35"/>
      <c r="H97" s="33">
        <v>3000</v>
      </c>
      <c r="I97" s="57"/>
      <c r="J97" s="33">
        <v>0</v>
      </c>
      <c r="K97" s="57"/>
      <c r="L97" s="33">
        <v>11000</v>
      </c>
      <c r="M97" s="57"/>
      <c r="N97" s="33">
        <v>0</v>
      </c>
      <c r="O97" s="57"/>
      <c r="P97" s="33">
        <v>14000</v>
      </c>
      <c r="Q97" s="57"/>
      <c r="R97" s="33">
        <v>0</v>
      </c>
      <c r="S97" s="29">
        <f t="shared" si="3"/>
        <v>0</v>
      </c>
    </row>
    <row r="98" spans="1:19" x14ac:dyDescent="0.25">
      <c r="A98" s="32"/>
      <c r="B98" s="32"/>
      <c r="C98" s="30" t="s">
        <v>49</v>
      </c>
      <c r="D98" s="30"/>
      <c r="E98" s="34"/>
      <c r="F98" s="18">
        <f>SUM(H98:L98)</f>
        <v>4005000</v>
      </c>
      <c r="G98" s="35"/>
      <c r="H98" s="33">
        <v>3534000</v>
      </c>
      <c r="I98" s="57"/>
      <c r="J98" s="33">
        <v>70000</v>
      </c>
      <c r="K98" s="57"/>
      <c r="L98" s="33">
        <v>401000</v>
      </c>
      <c r="M98" s="57"/>
      <c r="N98" s="33">
        <v>2552000</v>
      </c>
      <c r="O98" s="57"/>
      <c r="P98" s="33">
        <v>1453000</v>
      </c>
      <c r="Q98" s="57"/>
      <c r="R98" s="33">
        <v>0</v>
      </c>
      <c r="S98" s="29">
        <f t="shared" si="3"/>
        <v>0</v>
      </c>
    </row>
    <row r="99" spans="1:19" x14ac:dyDescent="0.25">
      <c r="C99" s="30" t="s">
        <v>50</v>
      </c>
      <c r="D99" s="30"/>
      <c r="E99" s="34"/>
      <c r="F99" s="18">
        <f>SUM(H99:L99)</f>
        <v>14467000</v>
      </c>
      <c r="G99" s="35"/>
      <c r="H99" s="33">
        <v>11754000</v>
      </c>
      <c r="I99" s="57"/>
      <c r="J99" s="33">
        <f>402000+1000</f>
        <v>403000</v>
      </c>
      <c r="K99" s="57"/>
      <c r="L99" s="33">
        <f>2311000-1000</f>
        <v>2310000</v>
      </c>
      <c r="M99" s="57"/>
      <c r="N99" s="33">
        <v>9142000</v>
      </c>
      <c r="O99" s="57"/>
      <c r="P99" s="33">
        <v>5325000</v>
      </c>
      <c r="Q99" s="57"/>
      <c r="R99" s="33">
        <v>0</v>
      </c>
      <c r="S99" s="29">
        <f t="shared" si="3"/>
        <v>0</v>
      </c>
    </row>
    <row r="100" spans="1:19" x14ac:dyDescent="0.25">
      <c r="A100" s="31"/>
      <c r="B100" s="31"/>
      <c r="C100" s="30" t="s">
        <v>51</v>
      </c>
      <c r="D100" s="30"/>
      <c r="E100" s="34"/>
      <c r="F100" s="58">
        <f>SUM(H100:L100)</f>
        <v>2448000</v>
      </c>
      <c r="G100" s="7"/>
      <c r="H100" s="36">
        <v>2148000</v>
      </c>
      <c r="I100" s="33"/>
      <c r="J100" s="36">
        <v>99000</v>
      </c>
      <c r="K100" s="33"/>
      <c r="L100" s="36">
        <v>201000</v>
      </c>
      <c r="M100" s="33"/>
      <c r="N100" s="36">
        <v>1650000</v>
      </c>
      <c r="O100" s="33"/>
      <c r="P100" s="36">
        <v>798000</v>
      </c>
      <c r="Q100" s="33"/>
      <c r="R100" s="36">
        <v>0</v>
      </c>
      <c r="S100" s="29">
        <f t="shared" si="3"/>
        <v>0</v>
      </c>
    </row>
    <row r="101" spans="1:19" x14ac:dyDescent="0.25">
      <c r="A101" s="32"/>
      <c r="B101" s="31"/>
      <c r="C101" s="32"/>
      <c r="D101" s="32"/>
      <c r="E101" s="32"/>
      <c r="G101" s="7"/>
      <c r="H101" s="7"/>
      <c r="I101" s="37"/>
      <c r="J101" s="7"/>
      <c r="K101" s="37"/>
      <c r="L101" s="7"/>
      <c r="M101" s="37"/>
      <c r="N101" s="7"/>
      <c r="O101" s="37"/>
      <c r="P101" s="37"/>
      <c r="Q101" s="37"/>
      <c r="R101" s="7"/>
      <c r="S101" s="29">
        <f t="shared" si="3"/>
        <v>0</v>
      </c>
    </row>
    <row r="102" spans="1:19" x14ac:dyDescent="0.25">
      <c r="A102" s="32"/>
      <c r="B102" s="32"/>
      <c r="C102" s="30"/>
      <c r="D102" s="30"/>
      <c r="E102" s="30" t="s">
        <v>2</v>
      </c>
      <c r="F102" s="58">
        <f>SUM(H102:L102)</f>
        <v>80611000</v>
      </c>
      <c r="G102" s="7"/>
      <c r="H102" s="58">
        <f>SUM(H87:H101)</f>
        <v>64957000</v>
      </c>
      <c r="I102" s="18"/>
      <c r="J102" s="58">
        <f>SUM(J87:J101)</f>
        <v>5066000</v>
      </c>
      <c r="K102" s="18"/>
      <c r="L102" s="58">
        <f>SUM(L87:L101)</f>
        <v>10588000</v>
      </c>
      <c r="M102" s="18"/>
      <c r="N102" s="58">
        <f>SUM(N87:N101)</f>
        <v>49735000</v>
      </c>
      <c r="O102" s="18"/>
      <c r="P102" s="58">
        <f>SUM(P87:P101)</f>
        <v>30963000</v>
      </c>
      <c r="Q102" s="18"/>
      <c r="R102" s="58">
        <f>SUM(R87:R101)</f>
        <v>87000</v>
      </c>
      <c r="S102" s="29">
        <f t="shared" si="3"/>
        <v>0</v>
      </c>
    </row>
    <row r="103" spans="1:19" x14ac:dyDescent="0.25"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9">
        <f t="shared" si="3"/>
        <v>0</v>
      </c>
    </row>
    <row r="104" spans="1:19" x14ac:dyDescent="0.25">
      <c r="A104" s="31"/>
      <c r="B104" s="17" t="s">
        <v>23</v>
      </c>
      <c r="C104" s="32"/>
      <c r="D104" s="32"/>
      <c r="G104" s="7"/>
      <c r="H104" s="37"/>
      <c r="I104" s="37"/>
      <c r="J104" s="7"/>
      <c r="K104" s="37"/>
      <c r="L104" s="7"/>
      <c r="M104" s="37"/>
      <c r="N104" s="37"/>
      <c r="O104" s="37"/>
      <c r="P104" s="37"/>
      <c r="Q104" s="37"/>
      <c r="R104" s="7"/>
      <c r="S104" s="29">
        <f t="shared" si="3"/>
        <v>0</v>
      </c>
    </row>
    <row r="105" spans="1:19" x14ac:dyDescent="0.25">
      <c r="A105" s="32"/>
      <c r="B105" s="32"/>
      <c r="C105" s="30" t="s">
        <v>41</v>
      </c>
      <c r="D105" s="30"/>
      <c r="E105" s="34"/>
      <c r="F105" s="18">
        <f>SUM(H105:L105)</f>
        <v>285000</v>
      </c>
      <c r="G105" s="35"/>
      <c r="H105" s="33">
        <v>11000</v>
      </c>
      <c r="I105" s="57"/>
      <c r="J105" s="33">
        <v>34000</v>
      </c>
      <c r="K105" s="57"/>
      <c r="L105" s="33">
        <v>240000</v>
      </c>
      <c r="M105" s="57"/>
      <c r="N105" s="33">
        <v>134000</v>
      </c>
      <c r="O105" s="57"/>
      <c r="P105" s="33">
        <f>150000+1000</f>
        <v>151000</v>
      </c>
      <c r="Q105" s="57"/>
      <c r="R105" s="33">
        <v>0</v>
      </c>
      <c r="S105" s="29">
        <f t="shared" si="3"/>
        <v>0</v>
      </c>
    </row>
    <row r="106" spans="1:19" x14ac:dyDescent="0.25">
      <c r="A106" s="32"/>
      <c r="B106" s="32"/>
      <c r="C106" s="30" t="s">
        <v>42</v>
      </c>
      <c r="D106" s="30"/>
      <c r="E106" s="34"/>
      <c r="F106" s="18">
        <f>SUM(H106:L106)</f>
        <v>30000</v>
      </c>
      <c r="G106" s="35"/>
      <c r="H106" s="33">
        <v>12000</v>
      </c>
      <c r="I106" s="57"/>
      <c r="J106" s="33">
        <v>1000</v>
      </c>
      <c r="K106" s="57"/>
      <c r="L106" s="33">
        <v>17000</v>
      </c>
      <c r="M106" s="57"/>
      <c r="N106" s="33">
        <v>13000</v>
      </c>
      <c r="O106" s="57"/>
      <c r="P106" s="33">
        <v>17000</v>
      </c>
      <c r="Q106" s="57"/>
      <c r="R106" s="33">
        <v>0</v>
      </c>
      <c r="S106" s="29">
        <f t="shared" si="3"/>
        <v>0</v>
      </c>
    </row>
    <row r="107" spans="1:19" x14ac:dyDescent="0.25">
      <c r="A107" s="32"/>
      <c r="B107" s="32"/>
      <c r="C107" s="30" t="s">
        <v>36</v>
      </c>
      <c r="D107" s="30"/>
      <c r="E107" s="34"/>
      <c r="F107" s="18">
        <f>SUM(H107:L107)</f>
        <v>626000</v>
      </c>
      <c r="G107" s="35"/>
      <c r="H107" s="33">
        <v>367000</v>
      </c>
      <c r="I107" s="57"/>
      <c r="J107" s="33">
        <v>0</v>
      </c>
      <c r="K107" s="57"/>
      <c r="L107" s="33">
        <v>259000</v>
      </c>
      <c r="M107" s="57"/>
      <c r="N107" s="33">
        <v>371000</v>
      </c>
      <c r="O107" s="57"/>
      <c r="P107" s="33">
        <v>255000</v>
      </c>
      <c r="Q107" s="57"/>
      <c r="R107" s="33">
        <v>0</v>
      </c>
      <c r="S107" s="29">
        <f t="shared" si="3"/>
        <v>0</v>
      </c>
    </row>
    <row r="108" spans="1:19" x14ac:dyDescent="0.25">
      <c r="A108" s="32"/>
      <c r="B108" s="32"/>
      <c r="C108" s="30" t="s">
        <v>52</v>
      </c>
      <c r="D108" s="30"/>
      <c r="E108" s="34"/>
      <c r="F108" s="18">
        <f>SUM(H108:L108)</f>
        <v>5234000</v>
      </c>
      <c r="G108" s="35"/>
      <c r="H108" s="33">
        <f>478000-1000</f>
        <v>477000</v>
      </c>
      <c r="I108" s="57"/>
      <c r="J108" s="33">
        <v>320000</v>
      </c>
      <c r="K108" s="57"/>
      <c r="L108" s="33">
        <v>4437000</v>
      </c>
      <c r="M108" s="57"/>
      <c r="N108" s="33">
        <v>2636000</v>
      </c>
      <c r="O108" s="57"/>
      <c r="P108" s="33">
        <v>2598000</v>
      </c>
      <c r="Q108" s="57"/>
      <c r="R108" s="33">
        <v>0</v>
      </c>
      <c r="S108" s="29">
        <f t="shared" si="3"/>
        <v>0</v>
      </c>
    </row>
    <row r="109" spans="1:19" x14ac:dyDescent="0.25">
      <c r="A109" s="32"/>
      <c r="B109" s="32"/>
      <c r="C109" s="30" t="s">
        <v>44</v>
      </c>
      <c r="D109" s="30"/>
      <c r="E109" s="34"/>
      <c r="G109" s="35"/>
      <c r="H109" s="33"/>
      <c r="I109" s="57"/>
      <c r="J109" s="33"/>
      <c r="K109" s="57"/>
      <c r="L109" s="33"/>
      <c r="M109" s="57"/>
      <c r="N109" s="33"/>
      <c r="O109" s="57"/>
      <c r="P109" s="33"/>
      <c r="Q109" s="57"/>
      <c r="R109" s="33"/>
      <c r="S109" s="29">
        <f t="shared" si="3"/>
        <v>0</v>
      </c>
    </row>
    <row r="110" spans="1:19" x14ac:dyDescent="0.25">
      <c r="A110" s="32"/>
      <c r="B110" s="32"/>
      <c r="C110" s="30"/>
      <c r="D110" s="30"/>
      <c r="E110" s="30" t="s">
        <v>45</v>
      </c>
      <c r="F110" s="18">
        <f>SUM(H110:L110)</f>
        <v>-5000</v>
      </c>
      <c r="G110" s="35"/>
      <c r="H110" s="33">
        <v>0</v>
      </c>
      <c r="I110" s="57"/>
      <c r="J110" s="33">
        <v>0</v>
      </c>
      <c r="K110" s="57"/>
      <c r="L110" s="33">
        <v>-5000</v>
      </c>
      <c r="M110" s="57"/>
      <c r="N110" s="33">
        <v>-7000</v>
      </c>
      <c r="O110" s="57"/>
      <c r="P110" s="33">
        <v>2000</v>
      </c>
      <c r="Q110" s="57"/>
      <c r="R110" s="33">
        <v>0</v>
      </c>
      <c r="S110" s="29">
        <f t="shared" si="3"/>
        <v>0</v>
      </c>
    </row>
    <row r="111" spans="1:19" x14ac:dyDescent="0.25">
      <c r="A111" s="32"/>
      <c r="B111" s="32"/>
      <c r="C111" s="30" t="s">
        <v>46</v>
      </c>
      <c r="D111" s="30"/>
      <c r="E111" s="34"/>
      <c r="F111" s="18">
        <f>SUM(H111:L111)</f>
        <v>110401000</v>
      </c>
      <c r="G111" s="35"/>
      <c r="H111" s="33">
        <v>6381000</v>
      </c>
      <c r="I111" s="57"/>
      <c r="J111" s="33">
        <v>5297000</v>
      </c>
      <c r="K111" s="57"/>
      <c r="L111" s="33">
        <v>98723000</v>
      </c>
      <c r="M111" s="57"/>
      <c r="N111" s="33">
        <v>51390000</v>
      </c>
      <c r="O111" s="57"/>
      <c r="P111" s="33">
        <v>59011000</v>
      </c>
      <c r="Q111" s="57"/>
      <c r="R111" s="33">
        <v>0</v>
      </c>
      <c r="S111" s="29">
        <f t="shared" si="3"/>
        <v>0</v>
      </c>
    </row>
    <row r="112" spans="1:19" x14ac:dyDescent="0.25">
      <c r="A112" s="32"/>
      <c r="B112" s="32"/>
      <c r="C112" s="30" t="s">
        <v>47</v>
      </c>
      <c r="D112" s="30"/>
      <c r="E112" s="34"/>
      <c r="G112" s="35"/>
      <c r="H112" s="33"/>
      <c r="I112" s="57"/>
      <c r="J112" s="33"/>
      <c r="K112" s="57"/>
      <c r="L112" s="33"/>
      <c r="M112" s="57"/>
      <c r="N112" s="33"/>
      <c r="O112" s="57"/>
      <c r="P112" s="33"/>
      <c r="Q112" s="57"/>
      <c r="R112" s="33"/>
      <c r="S112" s="29">
        <f t="shared" si="3"/>
        <v>0</v>
      </c>
    </row>
    <row r="113" spans="1:19" x14ac:dyDescent="0.25">
      <c r="A113" s="32"/>
      <c r="B113" s="32"/>
      <c r="C113" s="30"/>
      <c r="D113" s="30"/>
      <c r="E113" s="30" t="s">
        <v>48</v>
      </c>
      <c r="F113" s="18">
        <f>SUM(H113:L113)</f>
        <v>95000</v>
      </c>
      <c r="G113" s="35"/>
      <c r="H113" s="33">
        <v>2000</v>
      </c>
      <c r="I113" s="57"/>
      <c r="J113" s="33">
        <v>88000</v>
      </c>
      <c r="K113" s="57"/>
      <c r="L113" s="33">
        <v>5000</v>
      </c>
      <c r="M113" s="57"/>
      <c r="N113" s="33">
        <v>2000</v>
      </c>
      <c r="O113" s="57"/>
      <c r="P113" s="33">
        <v>93000</v>
      </c>
      <c r="Q113" s="57"/>
      <c r="R113" s="33">
        <v>0</v>
      </c>
      <c r="S113" s="29">
        <f t="shared" si="3"/>
        <v>0</v>
      </c>
    </row>
    <row r="114" spans="1:19" x14ac:dyDescent="0.25">
      <c r="A114" s="32"/>
      <c r="B114" s="32"/>
      <c r="C114" s="30" t="s">
        <v>53</v>
      </c>
      <c r="D114" s="30"/>
      <c r="E114" s="34"/>
      <c r="G114" s="35"/>
      <c r="H114" s="33"/>
      <c r="I114" s="57"/>
      <c r="J114" s="33"/>
      <c r="K114" s="57"/>
      <c r="L114" s="33"/>
      <c r="M114" s="57"/>
      <c r="N114" s="33"/>
      <c r="O114" s="57"/>
      <c r="P114" s="33"/>
      <c r="Q114" s="57"/>
      <c r="R114" s="33"/>
      <c r="S114" s="29">
        <f t="shared" si="3"/>
        <v>0</v>
      </c>
    </row>
    <row r="115" spans="1:19" x14ac:dyDescent="0.25">
      <c r="A115" s="32"/>
      <c r="B115" s="32"/>
      <c r="C115" s="30"/>
      <c r="D115" s="30"/>
      <c r="E115" s="34" t="s">
        <v>54</v>
      </c>
      <c r="F115" s="18">
        <f>SUM(H115:L115)</f>
        <v>2578000</v>
      </c>
      <c r="G115" s="35"/>
      <c r="H115" s="33">
        <v>279000</v>
      </c>
      <c r="I115" s="57"/>
      <c r="J115" s="33">
        <v>143000</v>
      </c>
      <c r="K115" s="57"/>
      <c r="L115" s="33">
        <v>2156000</v>
      </c>
      <c r="M115" s="57"/>
      <c r="N115" s="33">
        <f>1429000+1000</f>
        <v>1430000</v>
      </c>
      <c r="O115" s="57"/>
      <c r="P115" s="33">
        <f>1149000-1000</f>
        <v>1148000</v>
      </c>
      <c r="Q115" s="57"/>
      <c r="R115" s="33">
        <v>0</v>
      </c>
      <c r="S115" s="29">
        <f t="shared" si="3"/>
        <v>0</v>
      </c>
    </row>
    <row r="116" spans="1:19" x14ac:dyDescent="0.25">
      <c r="A116" s="32"/>
      <c r="B116" s="32"/>
      <c r="C116" s="30" t="s">
        <v>55</v>
      </c>
      <c r="D116" s="30"/>
      <c r="E116" s="34"/>
      <c r="F116" s="18">
        <f>SUM(H116:L116)</f>
        <v>127000</v>
      </c>
      <c r="G116" s="35"/>
      <c r="H116" s="33">
        <v>0</v>
      </c>
      <c r="I116" s="57"/>
      <c r="J116" s="33">
        <v>30000</v>
      </c>
      <c r="K116" s="57"/>
      <c r="L116" s="33">
        <v>97000</v>
      </c>
      <c r="M116" s="57"/>
      <c r="N116" s="33">
        <v>63000</v>
      </c>
      <c r="O116" s="57"/>
      <c r="P116" s="33">
        <v>64000</v>
      </c>
      <c r="Q116" s="57"/>
      <c r="R116" s="33">
        <v>0</v>
      </c>
      <c r="S116" s="29">
        <f t="shared" si="3"/>
        <v>0</v>
      </c>
    </row>
    <row r="117" spans="1:19" x14ac:dyDescent="0.25">
      <c r="C117" s="30" t="s">
        <v>51</v>
      </c>
      <c r="D117" s="30"/>
      <c r="E117" s="34"/>
      <c r="F117" s="58">
        <f>SUM(H117:L117)</f>
        <v>1000</v>
      </c>
      <c r="G117" s="7"/>
      <c r="H117" s="36">
        <v>0</v>
      </c>
      <c r="I117" s="33"/>
      <c r="J117" s="36">
        <v>0</v>
      </c>
      <c r="K117" s="33"/>
      <c r="L117" s="36">
        <v>1000</v>
      </c>
      <c r="M117" s="33"/>
      <c r="N117" s="36">
        <v>0</v>
      </c>
      <c r="O117" s="33"/>
      <c r="P117" s="36">
        <v>1000</v>
      </c>
      <c r="Q117" s="33"/>
      <c r="R117" s="36">
        <v>0</v>
      </c>
      <c r="S117" s="29">
        <f t="shared" si="3"/>
        <v>0</v>
      </c>
    </row>
    <row r="118" spans="1:19" x14ac:dyDescent="0.25">
      <c r="A118" s="32"/>
      <c r="B118" s="32"/>
      <c r="C118" s="30"/>
      <c r="D118" s="30"/>
      <c r="G118" s="7"/>
      <c r="H118" s="37"/>
      <c r="I118" s="37"/>
      <c r="J118" s="7"/>
      <c r="K118" s="37"/>
      <c r="L118" s="37"/>
      <c r="M118" s="37"/>
      <c r="N118" s="37"/>
      <c r="O118" s="37"/>
      <c r="P118" s="37"/>
      <c r="Q118" s="37"/>
      <c r="R118" s="7"/>
      <c r="S118" s="29">
        <f t="shared" si="3"/>
        <v>0</v>
      </c>
    </row>
    <row r="119" spans="1:19" x14ac:dyDescent="0.25">
      <c r="A119" s="32"/>
      <c r="B119" s="32"/>
      <c r="C119" s="30"/>
      <c r="D119" s="30"/>
      <c r="E119" s="30" t="s">
        <v>56</v>
      </c>
      <c r="F119" s="58">
        <f>SUM(H119:L119)</f>
        <v>119372000</v>
      </c>
      <c r="G119" s="7"/>
      <c r="H119" s="58">
        <f>SUM(H105:H118)</f>
        <v>7529000</v>
      </c>
      <c r="I119" s="18"/>
      <c r="J119" s="58">
        <f>SUM(J105:J118)</f>
        <v>5913000</v>
      </c>
      <c r="K119" s="18"/>
      <c r="L119" s="58">
        <f>SUM(L105:L118)</f>
        <v>105930000</v>
      </c>
      <c r="M119" s="18"/>
      <c r="N119" s="58">
        <f>SUM(N105:N118)</f>
        <v>56032000</v>
      </c>
      <c r="O119" s="18"/>
      <c r="P119" s="58">
        <f>SUM(P105:P118)</f>
        <v>63340000</v>
      </c>
      <c r="Q119" s="18"/>
      <c r="R119" s="58">
        <f>SUM(R105:R118)</f>
        <v>0</v>
      </c>
      <c r="S119" s="29">
        <f t="shared" si="3"/>
        <v>0</v>
      </c>
    </row>
    <row r="120" spans="1:19" x14ac:dyDescent="0.25">
      <c r="A120" s="32"/>
      <c r="B120" s="32"/>
      <c r="C120" s="30"/>
      <c r="D120" s="30"/>
      <c r="G120" s="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29">
        <f t="shared" si="3"/>
        <v>0</v>
      </c>
    </row>
    <row r="121" spans="1:19" x14ac:dyDescent="0.25">
      <c r="A121" s="32"/>
      <c r="B121" s="32" t="s">
        <v>25</v>
      </c>
      <c r="C121" s="30"/>
      <c r="D121" s="30"/>
      <c r="G121" s="7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29">
        <f t="shared" si="3"/>
        <v>0</v>
      </c>
    </row>
    <row r="122" spans="1:19" x14ac:dyDescent="0.25">
      <c r="A122" s="32"/>
      <c r="B122" s="32"/>
      <c r="C122" s="30" t="s">
        <v>52</v>
      </c>
      <c r="D122" s="30"/>
      <c r="E122" s="34"/>
      <c r="F122" s="18">
        <f>SUM(H122:L122)</f>
        <v>25000</v>
      </c>
      <c r="G122" s="7"/>
      <c r="H122" s="33">
        <v>0</v>
      </c>
      <c r="I122" s="33"/>
      <c r="J122" s="33">
        <v>25000</v>
      </c>
      <c r="K122" s="33"/>
      <c r="L122" s="33">
        <v>0</v>
      </c>
      <c r="M122" s="33"/>
      <c r="N122" s="33">
        <v>16000</v>
      </c>
      <c r="O122" s="33"/>
      <c r="P122" s="33">
        <v>9000</v>
      </c>
      <c r="Q122" s="33"/>
      <c r="R122" s="33">
        <v>0</v>
      </c>
      <c r="S122" s="29">
        <f t="shared" si="3"/>
        <v>0</v>
      </c>
    </row>
    <row r="123" spans="1:19" x14ac:dyDescent="0.25">
      <c r="A123" s="32"/>
      <c r="B123" s="32"/>
      <c r="C123" s="30" t="s">
        <v>46</v>
      </c>
      <c r="D123" s="30"/>
      <c r="E123" s="34"/>
      <c r="F123" s="58">
        <f>SUM(H123:L123)</f>
        <v>-46000</v>
      </c>
      <c r="G123" s="7"/>
      <c r="H123" s="36">
        <v>0</v>
      </c>
      <c r="I123" s="33"/>
      <c r="J123" s="36">
        <v>-46000</v>
      </c>
      <c r="K123" s="33"/>
      <c r="L123" s="36">
        <v>0</v>
      </c>
      <c r="M123" s="33"/>
      <c r="N123" s="36">
        <v>0</v>
      </c>
      <c r="O123" s="33"/>
      <c r="P123" s="36">
        <v>-46000</v>
      </c>
      <c r="Q123" s="33"/>
      <c r="R123" s="36">
        <v>0</v>
      </c>
      <c r="S123" s="29">
        <f t="shared" si="3"/>
        <v>0</v>
      </c>
    </row>
    <row r="124" spans="1:19" x14ac:dyDescent="0.25">
      <c r="A124" s="32"/>
      <c r="B124" s="32"/>
      <c r="C124" s="30"/>
      <c r="D124" s="30"/>
      <c r="E124" s="34"/>
      <c r="G124" s="7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29">
        <f t="shared" si="3"/>
        <v>0</v>
      </c>
    </row>
    <row r="125" spans="1:19" x14ac:dyDescent="0.25">
      <c r="A125" s="32"/>
      <c r="B125" s="32"/>
      <c r="C125" s="30"/>
      <c r="D125" s="30"/>
      <c r="E125" s="30" t="s">
        <v>2</v>
      </c>
      <c r="F125" s="58">
        <f>SUM(H125:L125)</f>
        <v>-21000</v>
      </c>
      <c r="G125" s="7"/>
      <c r="H125" s="58">
        <f>SUM(H121:H124)</f>
        <v>0</v>
      </c>
      <c r="I125" s="18"/>
      <c r="J125" s="58">
        <f>SUM(J121:J124)</f>
        <v>-21000</v>
      </c>
      <c r="K125" s="18"/>
      <c r="L125" s="58">
        <f>SUM(L121:L124)</f>
        <v>0</v>
      </c>
      <c r="M125" s="18"/>
      <c r="N125" s="58">
        <f>SUM(N121:N124)</f>
        <v>16000</v>
      </c>
      <c r="O125" s="18"/>
      <c r="P125" s="58">
        <f>SUM(P121:P124)</f>
        <v>-37000</v>
      </c>
      <c r="Q125" s="18"/>
      <c r="R125" s="58">
        <f>SUM(R121:R124)</f>
        <v>0</v>
      </c>
      <c r="S125" s="29">
        <f t="shared" si="3"/>
        <v>0</v>
      </c>
    </row>
    <row r="126" spans="1:19" x14ac:dyDescent="0.25">
      <c r="A126" s="32"/>
      <c r="B126" s="32"/>
      <c r="C126" s="30"/>
      <c r="D126" s="30"/>
      <c r="G126" s="7"/>
      <c r="H126" s="37"/>
      <c r="I126" s="37"/>
      <c r="J126" s="7"/>
      <c r="K126" s="37"/>
      <c r="L126" s="37"/>
      <c r="M126" s="37"/>
      <c r="N126" s="37"/>
      <c r="O126" s="37"/>
      <c r="P126" s="37"/>
      <c r="Q126" s="37"/>
      <c r="R126" s="7"/>
      <c r="S126" s="29">
        <f t="shared" si="3"/>
        <v>0</v>
      </c>
    </row>
    <row r="127" spans="1:19" x14ac:dyDescent="0.25">
      <c r="A127" s="32"/>
      <c r="B127" s="32" t="s">
        <v>30</v>
      </c>
      <c r="C127" s="30"/>
      <c r="D127" s="30"/>
      <c r="G127" s="7"/>
      <c r="H127" s="37"/>
      <c r="I127" s="37"/>
      <c r="J127" s="7"/>
      <c r="K127" s="37"/>
      <c r="L127" s="37"/>
      <c r="M127" s="37"/>
      <c r="N127" s="37"/>
      <c r="O127" s="37"/>
      <c r="P127" s="37"/>
      <c r="Q127" s="37"/>
      <c r="R127" s="7"/>
      <c r="S127" s="29">
        <f t="shared" si="3"/>
        <v>0</v>
      </c>
    </row>
    <row r="128" spans="1:19" x14ac:dyDescent="0.25">
      <c r="C128" s="30" t="s">
        <v>36</v>
      </c>
      <c r="D128" s="30"/>
      <c r="E128" s="34"/>
      <c r="F128" s="18">
        <f>SUM(H128:L128)</f>
        <v>3472000</v>
      </c>
      <c r="G128" s="35"/>
      <c r="H128" s="33">
        <v>1000</v>
      </c>
      <c r="I128" s="57"/>
      <c r="J128" s="33">
        <f>370000-1000</f>
        <v>369000</v>
      </c>
      <c r="K128" s="57"/>
      <c r="L128" s="33">
        <v>3102000</v>
      </c>
      <c r="M128" s="57"/>
      <c r="N128" s="33">
        <v>1969000</v>
      </c>
      <c r="O128" s="57"/>
      <c r="P128" s="33">
        <v>1556000</v>
      </c>
      <c r="Q128" s="57"/>
      <c r="R128" s="33">
        <v>53000</v>
      </c>
      <c r="S128" s="29">
        <f t="shared" si="3"/>
        <v>0</v>
      </c>
    </row>
    <row r="129" spans="1:19" x14ac:dyDescent="0.25">
      <c r="C129" s="30" t="s">
        <v>52</v>
      </c>
      <c r="D129" s="30"/>
      <c r="E129" s="34"/>
      <c r="F129" s="18">
        <f>SUM(H129:L129)</f>
        <v>2009000</v>
      </c>
      <c r="G129" s="35"/>
      <c r="H129" s="33"/>
      <c r="I129" s="57"/>
      <c r="J129" s="33">
        <v>1154000</v>
      </c>
      <c r="K129" s="57"/>
      <c r="L129" s="33">
        <v>855000</v>
      </c>
      <c r="M129" s="57"/>
      <c r="N129" s="33">
        <v>864000</v>
      </c>
      <c r="O129" s="57"/>
      <c r="P129" s="33">
        <v>1146000</v>
      </c>
      <c r="Q129" s="57"/>
      <c r="R129" s="33">
        <v>1000</v>
      </c>
      <c r="S129" s="29">
        <f t="shared" si="3"/>
        <v>0</v>
      </c>
    </row>
    <row r="130" spans="1:19" x14ac:dyDescent="0.25">
      <c r="C130" s="30" t="s">
        <v>44</v>
      </c>
      <c r="D130" s="30"/>
      <c r="E130" s="34"/>
      <c r="G130" s="35"/>
      <c r="H130" s="33"/>
      <c r="I130" s="57"/>
      <c r="J130" s="33"/>
      <c r="K130" s="57"/>
      <c r="L130" s="33"/>
      <c r="M130" s="57"/>
      <c r="N130" s="33"/>
      <c r="O130" s="57"/>
      <c r="P130" s="33"/>
      <c r="Q130" s="57"/>
      <c r="R130" s="33"/>
      <c r="S130" s="29">
        <f t="shared" si="3"/>
        <v>0</v>
      </c>
    </row>
    <row r="131" spans="1:19" x14ac:dyDescent="0.25">
      <c r="A131" s="30"/>
      <c r="B131" s="30"/>
      <c r="C131" s="32"/>
      <c r="D131" s="32"/>
      <c r="E131" s="30" t="s">
        <v>45</v>
      </c>
      <c r="F131" s="18">
        <f>SUM(H131:L131)</f>
        <v>412000</v>
      </c>
      <c r="G131" s="35"/>
      <c r="H131" s="33">
        <v>667000</v>
      </c>
      <c r="I131" s="57"/>
      <c r="J131" s="33">
        <v>-291000</v>
      </c>
      <c r="K131" s="57"/>
      <c r="L131" s="33">
        <f>37000-1000</f>
        <v>36000</v>
      </c>
      <c r="M131" s="57"/>
      <c r="N131" s="33">
        <v>1476000</v>
      </c>
      <c r="O131" s="57"/>
      <c r="P131" s="33">
        <f>1293000+3000</f>
        <v>1296000</v>
      </c>
      <c r="Q131" s="57"/>
      <c r="R131" s="33">
        <f>2357000+3000</f>
        <v>2360000</v>
      </c>
      <c r="S131" s="29">
        <f t="shared" si="3"/>
        <v>0</v>
      </c>
    </row>
    <row r="132" spans="1:19" x14ac:dyDescent="0.25">
      <c r="C132" s="30" t="s">
        <v>46</v>
      </c>
      <c r="D132" s="30"/>
      <c r="E132" s="34"/>
      <c r="F132" s="18">
        <f>SUM(H132:L132)</f>
        <v>1887000</v>
      </c>
      <c r="G132" s="35"/>
      <c r="H132" s="33">
        <f>13000-1000</f>
        <v>12000</v>
      </c>
      <c r="I132" s="57"/>
      <c r="J132" s="33">
        <v>1775000</v>
      </c>
      <c r="K132" s="57"/>
      <c r="L132" s="33">
        <v>100000</v>
      </c>
      <c r="M132" s="57"/>
      <c r="N132" s="33">
        <v>2413000</v>
      </c>
      <c r="O132" s="57"/>
      <c r="P132" s="33">
        <v>2908000</v>
      </c>
      <c r="Q132" s="57"/>
      <c r="R132" s="33">
        <f>3433000+1000</f>
        <v>3434000</v>
      </c>
      <c r="S132" s="29">
        <f t="shared" si="3"/>
        <v>0</v>
      </c>
    </row>
    <row r="133" spans="1:19" x14ac:dyDescent="0.25">
      <c r="C133" s="30" t="s">
        <v>55</v>
      </c>
      <c r="D133" s="30"/>
      <c r="F133" s="58">
        <f>SUM(H133:L133)</f>
        <v>74000</v>
      </c>
      <c r="G133" s="7"/>
      <c r="H133" s="36">
        <v>71000</v>
      </c>
      <c r="I133" s="33"/>
      <c r="J133" s="36">
        <v>3000</v>
      </c>
      <c r="K133" s="33"/>
      <c r="L133" s="36">
        <v>0</v>
      </c>
      <c r="M133" s="33"/>
      <c r="N133" s="36">
        <v>46000</v>
      </c>
      <c r="O133" s="33"/>
      <c r="P133" s="36">
        <v>28000</v>
      </c>
      <c r="Q133" s="33"/>
      <c r="R133" s="36">
        <v>0</v>
      </c>
      <c r="S133" s="29">
        <f t="shared" si="3"/>
        <v>0</v>
      </c>
    </row>
    <row r="134" spans="1:19" x14ac:dyDescent="0.25"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29">
        <f t="shared" si="3"/>
        <v>0</v>
      </c>
    </row>
    <row r="135" spans="1:19" x14ac:dyDescent="0.25">
      <c r="E135" s="30" t="s">
        <v>2</v>
      </c>
      <c r="F135" s="58">
        <f>SUM(H135:L135)</f>
        <v>7854000</v>
      </c>
      <c r="G135" s="7">
        <v>0</v>
      </c>
      <c r="H135" s="58">
        <f>SUM(H128:H134)</f>
        <v>751000</v>
      </c>
      <c r="I135" s="18"/>
      <c r="J135" s="58">
        <f>SUM(J128:J134)</f>
        <v>3010000</v>
      </c>
      <c r="K135" s="18"/>
      <c r="L135" s="58">
        <f>SUM(L128:L134)</f>
        <v>4093000</v>
      </c>
      <c r="M135" s="18"/>
      <c r="N135" s="58">
        <f>SUM(N128:N134)</f>
        <v>6768000</v>
      </c>
      <c r="O135" s="18"/>
      <c r="P135" s="58">
        <f>SUM(P128:P134)</f>
        <v>6934000</v>
      </c>
      <c r="Q135" s="18"/>
      <c r="R135" s="58">
        <f>SUM(R128:R134)</f>
        <v>5848000</v>
      </c>
      <c r="S135" s="29">
        <f t="shared" ref="S135:S198" si="4">+F135-N135-P135+R135</f>
        <v>0</v>
      </c>
    </row>
    <row r="136" spans="1:19" x14ac:dyDescent="0.25"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29">
        <f t="shared" si="4"/>
        <v>0</v>
      </c>
    </row>
    <row r="137" spans="1:19" x14ac:dyDescent="0.25">
      <c r="E137" s="30" t="s">
        <v>57</v>
      </c>
      <c r="F137" s="58">
        <f>SUM(H137:L137)</f>
        <v>207816000</v>
      </c>
      <c r="G137" s="7"/>
      <c r="H137" s="58">
        <f>+H102+H119+H125+H135</f>
        <v>73237000</v>
      </c>
      <c r="I137" s="18"/>
      <c r="J137" s="58">
        <f>+J102+J119+J125+J135</f>
        <v>13968000</v>
      </c>
      <c r="K137" s="18"/>
      <c r="L137" s="58">
        <f>+L102+L119+L125+L135</f>
        <v>120611000</v>
      </c>
      <c r="M137" s="18"/>
      <c r="N137" s="58">
        <f>+N102+N119+N125+N135</f>
        <v>112551000</v>
      </c>
      <c r="O137" s="18"/>
      <c r="P137" s="58">
        <f>+P102+P119+P125+P135</f>
        <v>101200000</v>
      </c>
      <c r="Q137" s="18"/>
      <c r="R137" s="58">
        <f>+R102+R119+R125+R135</f>
        <v>5935000</v>
      </c>
      <c r="S137" s="29">
        <f t="shared" si="4"/>
        <v>0</v>
      </c>
    </row>
    <row r="138" spans="1:19" x14ac:dyDescent="0.25"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29">
        <f t="shared" si="4"/>
        <v>0</v>
      </c>
    </row>
    <row r="139" spans="1:19" x14ac:dyDescent="0.25">
      <c r="A139" s="22" t="s">
        <v>58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29">
        <f t="shared" si="4"/>
        <v>0</v>
      </c>
    </row>
    <row r="140" spans="1:19" x14ac:dyDescent="0.25">
      <c r="A140" s="22"/>
      <c r="B140" s="22" t="s">
        <v>59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29">
        <f t="shared" si="4"/>
        <v>0</v>
      </c>
    </row>
    <row r="141" spans="1:19" x14ac:dyDescent="0.25"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29">
        <f t="shared" si="4"/>
        <v>0</v>
      </c>
    </row>
    <row r="142" spans="1:19" x14ac:dyDescent="0.25">
      <c r="B142" s="38" t="s">
        <v>12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29">
        <f t="shared" si="4"/>
        <v>0</v>
      </c>
    </row>
    <row r="143" spans="1:19" x14ac:dyDescent="0.25">
      <c r="C143" s="30" t="s">
        <v>60</v>
      </c>
      <c r="D143" s="30"/>
      <c r="E143" s="34"/>
      <c r="F143" s="18">
        <f>SUM(H143:L143)</f>
        <v>7483000</v>
      </c>
      <c r="G143" s="35"/>
      <c r="H143" s="33">
        <v>6534000</v>
      </c>
      <c r="I143" s="57"/>
      <c r="J143" s="33">
        <v>529000</v>
      </c>
      <c r="K143" s="57"/>
      <c r="L143" s="33">
        <v>420000</v>
      </c>
      <c r="M143" s="57"/>
      <c r="N143" s="33">
        <v>4818000</v>
      </c>
      <c r="O143" s="57"/>
      <c r="P143" s="33">
        <v>2667000</v>
      </c>
      <c r="Q143" s="57"/>
      <c r="R143" s="33">
        <v>2000</v>
      </c>
      <c r="S143" s="29">
        <f t="shared" si="4"/>
        <v>0</v>
      </c>
    </row>
    <row r="144" spans="1:19" x14ac:dyDescent="0.25">
      <c r="C144" s="30" t="s">
        <v>61</v>
      </c>
      <c r="D144" s="30"/>
      <c r="E144" s="34"/>
      <c r="F144" s="18">
        <f>SUM(H144:L144)</f>
        <v>3910000</v>
      </c>
      <c r="G144" s="35"/>
      <c r="H144" s="33">
        <v>3545000</v>
      </c>
      <c r="I144" s="57"/>
      <c r="J144" s="33">
        <v>288000</v>
      </c>
      <c r="K144" s="57"/>
      <c r="L144" s="33">
        <v>77000</v>
      </c>
      <c r="M144" s="57"/>
      <c r="N144" s="33">
        <v>2590000</v>
      </c>
      <c r="O144" s="57"/>
      <c r="P144" s="33">
        <v>1320000</v>
      </c>
      <c r="Q144" s="57"/>
      <c r="R144" s="33">
        <v>0</v>
      </c>
      <c r="S144" s="29">
        <f t="shared" si="4"/>
        <v>0</v>
      </c>
    </row>
    <row r="145" spans="1:19" x14ac:dyDescent="0.25">
      <c r="C145" s="30" t="s">
        <v>36</v>
      </c>
      <c r="D145" s="30"/>
      <c r="E145" s="34"/>
      <c r="F145" s="18">
        <f>SUM(H145:L145)</f>
        <v>4867000</v>
      </c>
      <c r="G145" s="35"/>
      <c r="H145" s="33">
        <v>2759000</v>
      </c>
      <c r="I145" s="57"/>
      <c r="J145" s="33">
        <v>1288000</v>
      </c>
      <c r="K145" s="57"/>
      <c r="L145" s="33">
        <v>820000</v>
      </c>
      <c r="M145" s="57"/>
      <c r="N145" s="33">
        <v>2881000</v>
      </c>
      <c r="O145" s="57"/>
      <c r="P145" s="33">
        <v>2077000</v>
      </c>
      <c r="Q145" s="57"/>
      <c r="R145" s="33">
        <v>91000</v>
      </c>
      <c r="S145" s="29">
        <f t="shared" si="4"/>
        <v>0</v>
      </c>
    </row>
    <row r="146" spans="1:19" x14ac:dyDescent="0.25">
      <c r="C146" s="30" t="s">
        <v>62</v>
      </c>
      <c r="D146" s="30"/>
      <c r="E146" s="34"/>
      <c r="G146" s="7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29">
        <f t="shared" si="4"/>
        <v>0</v>
      </c>
    </row>
    <row r="147" spans="1:19" x14ac:dyDescent="0.25">
      <c r="C147" s="29"/>
      <c r="D147" s="30"/>
      <c r="E147" s="34" t="s">
        <v>63</v>
      </c>
      <c r="F147" s="58">
        <f>SUM(H147:L147)</f>
        <v>2894000</v>
      </c>
      <c r="G147" s="7"/>
      <c r="H147" s="36">
        <v>2388000</v>
      </c>
      <c r="I147" s="33"/>
      <c r="J147" s="36">
        <v>112000</v>
      </c>
      <c r="K147" s="33"/>
      <c r="L147" s="36">
        <v>394000</v>
      </c>
      <c r="M147" s="33"/>
      <c r="N147" s="36">
        <v>1760000</v>
      </c>
      <c r="O147" s="33"/>
      <c r="P147" s="36">
        <v>1134000</v>
      </c>
      <c r="Q147" s="33"/>
      <c r="R147" s="36">
        <v>0</v>
      </c>
      <c r="S147" s="29">
        <f t="shared" si="4"/>
        <v>0</v>
      </c>
    </row>
    <row r="148" spans="1:19" x14ac:dyDescent="0.25">
      <c r="A148" s="46"/>
      <c r="B148" s="46"/>
      <c r="C148" s="46"/>
      <c r="D148" s="46"/>
      <c r="E148" s="46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29">
        <f t="shared" si="4"/>
        <v>0</v>
      </c>
    </row>
    <row r="149" spans="1:19" x14ac:dyDescent="0.25">
      <c r="E149" s="30" t="s">
        <v>2</v>
      </c>
      <c r="F149" s="58">
        <f>SUM(H149:L149)</f>
        <v>19154000</v>
      </c>
      <c r="G149" s="7"/>
      <c r="H149" s="58">
        <f>SUM(H143:H148)</f>
        <v>15226000</v>
      </c>
      <c r="I149" s="18"/>
      <c r="J149" s="58">
        <f>SUM(J143:J148)</f>
        <v>2217000</v>
      </c>
      <c r="K149" s="18"/>
      <c r="L149" s="58">
        <f>SUM(L143:L148)</f>
        <v>1711000</v>
      </c>
      <c r="M149" s="18"/>
      <c r="N149" s="58">
        <f>SUM(N143:N148)</f>
        <v>12049000</v>
      </c>
      <c r="O149" s="18"/>
      <c r="P149" s="58">
        <f>SUM(P143:P148)</f>
        <v>7198000</v>
      </c>
      <c r="Q149" s="18"/>
      <c r="R149" s="58">
        <f>SUM(R143:R148)</f>
        <v>93000</v>
      </c>
      <c r="S149" s="29">
        <f t="shared" si="4"/>
        <v>0</v>
      </c>
    </row>
    <row r="150" spans="1:19" x14ac:dyDescent="0.25">
      <c r="A150" s="46"/>
      <c r="B150" s="46"/>
      <c r="C150" s="46"/>
      <c r="D150" s="46"/>
      <c r="E150" s="46"/>
      <c r="F150" s="47"/>
      <c r="G150" s="48"/>
      <c r="H150" s="48"/>
      <c r="I150" s="7"/>
      <c r="J150" s="48"/>
      <c r="K150" s="7"/>
      <c r="L150" s="48"/>
      <c r="M150" s="7"/>
      <c r="N150" s="48"/>
      <c r="O150" s="7"/>
      <c r="P150" s="48"/>
      <c r="Q150" s="7"/>
      <c r="R150" s="48"/>
      <c r="S150" s="29">
        <f t="shared" si="4"/>
        <v>0</v>
      </c>
    </row>
    <row r="151" spans="1:19" x14ac:dyDescent="0.25">
      <c r="B151" s="38" t="s">
        <v>23</v>
      </c>
      <c r="G151" s="7"/>
      <c r="H151" s="7"/>
      <c r="I151" s="44"/>
      <c r="J151" s="7"/>
      <c r="K151" s="44"/>
      <c r="L151" s="7"/>
      <c r="M151" s="44"/>
      <c r="N151" s="7"/>
      <c r="O151" s="44"/>
      <c r="P151" s="7"/>
      <c r="Q151" s="44"/>
      <c r="R151" s="7"/>
      <c r="S151" s="29">
        <f t="shared" si="4"/>
        <v>0</v>
      </c>
    </row>
    <row r="152" spans="1:19" x14ac:dyDescent="0.25">
      <c r="C152" s="30" t="s">
        <v>60</v>
      </c>
      <c r="D152" s="30"/>
      <c r="E152" s="34"/>
      <c r="F152" s="18">
        <f>SUM(H152:L152)</f>
        <v>53000</v>
      </c>
      <c r="G152" s="35"/>
      <c r="H152" s="33">
        <v>23000</v>
      </c>
      <c r="I152" s="57"/>
      <c r="J152" s="33">
        <v>7000</v>
      </c>
      <c r="K152" s="57"/>
      <c r="L152" s="33">
        <v>23000</v>
      </c>
      <c r="M152" s="57"/>
      <c r="N152" s="33">
        <v>24000</v>
      </c>
      <c r="O152" s="57"/>
      <c r="P152" s="33">
        <v>29000</v>
      </c>
      <c r="Q152" s="57"/>
      <c r="R152" s="33">
        <v>0</v>
      </c>
      <c r="S152" s="29">
        <f t="shared" si="4"/>
        <v>0</v>
      </c>
    </row>
    <row r="153" spans="1:19" x14ac:dyDescent="0.25">
      <c r="C153" s="30" t="s">
        <v>61</v>
      </c>
      <c r="D153" s="30"/>
      <c r="E153" s="34"/>
      <c r="F153" s="18">
        <f>SUM(H153:L153)</f>
        <v>97000</v>
      </c>
      <c r="G153" s="35"/>
      <c r="H153" s="33">
        <f>9000-1000</f>
        <v>8000</v>
      </c>
      <c r="I153" s="57"/>
      <c r="J153" s="33">
        <f>75000+1000</f>
        <v>76000</v>
      </c>
      <c r="K153" s="57"/>
      <c r="L153" s="33">
        <v>13000</v>
      </c>
      <c r="M153" s="57"/>
      <c r="N153" s="33">
        <v>64000</v>
      </c>
      <c r="O153" s="57"/>
      <c r="P153" s="33">
        <v>33000</v>
      </c>
      <c r="Q153" s="57"/>
      <c r="R153" s="33">
        <v>0</v>
      </c>
      <c r="S153" s="29">
        <f t="shared" si="4"/>
        <v>0</v>
      </c>
    </row>
    <row r="154" spans="1:19" x14ac:dyDescent="0.25">
      <c r="C154" s="30" t="s">
        <v>36</v>
      </c>
      <c r="D154" s="30"/>
      <c r="E154" s="34"/>
      <c r="F154" s="18">
        <f>SUM(H154:L154)</f>
        <v>3000</v>
      </c>
      <c r="G154" s="35"/>
      <c r="H154" s="33">
        <v>0</v>
      </c>
      <c r="I154" s="57"/>
      <c r="J154" s="33">
        <v>3000</v>
      </c>
      <c r="K154" s="57"/>
      <c r="L154" s="33">
        <v>0</v>
      </c>
      <c r="M154" s="57"/>
      <c r="N154" s="33">
        <v>0</v>
      </c>
      <c r="O154" s="57"/>
      <c r="P154" s="33">
        <v>3000</v>
      </c>
      <c r="Q154" s="57"/>
      <c r="R154" s="33">
        <v>0</v>
      </c>
      <c r="S154" s="29">
        <f t="shared" si="4"/>
        <v>0</v>
      </c>
    </row>
    <row r="155" spans="1:19" x14ac:dyDescent="0.25">
      <c r="C155" s="30" t="s">
        <v>62</v>
      </c>
      <c r="D155" s="30"/>
      <c r="E155" s="34"/>
      <c r="G155" s="7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29">
        <f t="shared" si="4"/>
        <v>0</v>
      </c>
    </row>
    <row r="156" spans="1:19" x14ac:dyDescent="0.25">
      <c r="C156" s="29"/>
      <c r="D156" s="30"/>
      <c r="E156" s="34" t="s">
        <v>63</v>
      </c>
      <c r="F156" s="58">
        <f>SUM(H156:L156)</f>
        <v>16000</v>
      </c>
      <c r="G156" s="7"/>
      <c r="H156" s="36">
        <v>2000</v>
      </c>
      <c r="I156" s="33"/>
      <c r="J156" s="36">
        <f>14000-1000</f>
        <v>13000</v>
      </c>
      <c r="K156" s="33"/>
      <c r="L156" s="36">
        <v>1000</v>
      </c>
      <c r="M156" s="33"/>
      <c r="N156" s="36">
        <v>1000</v>
      </c>
      <c r="O156" s="33"/>
      <c r="P156" s="36">
        <v>15000</v>
      </c>
      <c r="Q156" s="33"/>
      <c r="R156" s="36">
        <v>0</v>
      </c>
      <c r="S156" s="29">
        <f t="shared" si="4"/>
        <v>0</v>
      </c>
    </row>
    <row r="157" spans="1:19" x14ac:dyDescent="0.25"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29">
        <f t="shared" si="4"/>
        <v>0</v>
      </c>
    </row>
    <row r="158" spans="1:19" x14ac:dyDescent="0.25">
      <c r="E158" s="30" t="s">
        <v>2</v>
      </c>
      <c r="F158" s="58">
        <f>SUM(H158:L158)</f>
        <v>169000</v>
      </c>
      <c r="G158" s="7"/>
      <c r="H158" s="58">
        <f>SUM(H152:H157)</f>
        <v>33000</v>
      </c>
      <c r="I158" s="18"/>
      <c r="J158" s="58">
        <f>SUM(J152:J157)</f>
        <v>99000</v>
      </c>
      <c r="K158" s="18"/>
      <c r="L158" s="58">
        <f>SUM(L152:L157)</f>
        <v>37000</v>
      </c>
      <c r="M158" s="18"/>
      <c r="N158" s="58">
        <f>SUM(N152:N157)</f>
        <v>89000</v>
      </c>
      <c r="O158" s="18"/>
      <c r="P158" s="58">
        <f>SUM(P152:P157)</f>
        <v>80000</v>
      </c>
      <c r="Q158" s="18"/>
      <c r="R158" s="58">
        <f>SUM(R152:R157)</f>
        <v>0</v>
      </c>
      <c r="S158" s="29">
        <f t="shared" si="4"/>
        <v>0</v>
      </c>
    </row>
    <row r="159" spans="1:19" x14ac:dyDescent="0.25">
      <c r="G159" s="7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29">
        <f t="shared" si="4"/>
        <v>0</v>
      </c>
    </row>
    <row r="160" spans="1:19" x14ac:dyDescent="0.25">
      <c r="A160" s="32"/>
      <c r="B160" s="17" t="s">
        <v>30</v>
      </c>
      <c r="C160" s="30"/>
      <c r="D160" s="30"/>
      <c r="F160" s="58">
        <f>SUM(H160:L160)</f>
        <v>275000</v>
      </c>
      <c r="G160" s="7"/>
      <c r="H160" s="36">
        <v>0</v>
      </c>
      <c r="I160" s="33"/>
      <c r="J160" s="36">
        <v>275000</v>
      </c>
      <c r="K160" s="33"/>
      <c r="L160" s="36">
        <v>0</v>
      </c>
      <c r="M160" s="33"/>
      <c r="N160" s="36">
        <v>223000</v>
      </c>
      <c r="O160" s="33"/>
      <c r="P160" s="36">
        <v>52000</v>
      </c>
      <c r="Q160" s="33"/>
      <c r="R160" s="36">
        <v>0</v>
      </c>
      <c r="S160" s="29">
        <f t="shared" si="4"/>
        <v>0</v>
      </c>
    </row>
    <row r="161" spans="1:19" x14ac:dyDescent="0.25">
      <c r="G161" s="7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29">
        <f t="shared" si="4"/>
        <v>0</v>
      </c>
    </row>
    <row r="162" spans="1:19" x14ac:dyDescent="0.25">
      <c r="E162" s="30" t="s">
        <v>64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29">
        <f t="shared" si="4"/>
        <v>0</v>
      </c>
    </row>
    <row r="163" spans="1:19" x14ac:dyDescent="0.25">
      <c r="E163" s="30" t="s">
        <v>65</v>
      </c>
      <c r="F163" s="58">
        <f>SUM(H163:L163)</f>
        <v>19598000</v>
      </c>
      <c r="G163" s="7"/>
      <c r="H163" s="58">
        <f>+H149+H158+H160</f>
        <v>15259000</v>
      </c>
      <c r="I163" s="7"/>
      <c r="J163" s="58">
        <f>+J149+J158+J160</f>
        <v>2591000</v>
      </c>
      <c r="K163" s="7"/>
      <c r="L163" s="58">
        <f>+L149+L158+L160</f>
        <v>1748000</v>
      </c>
      <c r="M163" s="7"/>
      <c r="N163" s="58">
        <f>+N149+N158+N160</f>
        <v>12361000</v>
      </c>
      <c r="O163" s="7"/>
      <c r="P163" s="58">
        <f>+P149+P158+P160</f>
        <v>7330000</v>
      </c>
      <c r="Q163" s="7"/>
      <c r="R163" s="58">
        <f>+R149+R158+R160</f>
        <v>93000</v>
      </c>
      <c r="S163" s="29">
        <f t="shared" si="4"/>
        <v>0</v>
      </c>
    </row>
    <row r="164" spans="1:19" x14ac:dyDescent="0.25">
      <c r="G164" s="7"/>
      <c r="H164" s="18"/>
      <c r="I164" s="7"/>
      <c r="J164" s="18"/>
      <c r="K164" s="7"/>
      <c r="L164" s="18"/>
      <c r="M164" s="7"/>
      <c r="N164" s="18"/>
      <c r="O164" s="7"/>
      <c r="P164" s="18"/>
      <c r="Q164" s="7"/>
      <c r="R164" s="18"/>
      <c r="S164" s="29">
        <f t="shared" si="4"/>
        <v>0</v>
      </c>
    </row>
    <row r="165" spans="1:19" x14ac:dyDescent="0.25">
      <c r="A165" s="22" t="s">
        <v>66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29">
        <f t="shared" si="4"/>
        <v>0</v>
      </c>
    </row>
    <row r="166" spans="1:19" x14ac:dyDescent="0.25">
      <c r="A166" s="22"/>
      <c r="B166" s="22" t="s">
        <v>67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29">
        <f t="shared" si="4"/>
        <v>0</v>
      </c>
    </row>
    <row r="167" spans="1:19" x14ac:dyDescent="0.25"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29">
        <f t="shared" si="4"/>
        <v>0</v>
      </c>
    </row>
    <row r="168" spans="1:19" x14ac:dyDescent="0.25">
      <c r="B168" s="38" t="s">
        <v>12</v>
      </c>
      <c r="C168" s="30"/>
      <c r="D168" s="30"/>
      <c r="E168" s="34"/>
      <c r="F168" s="58">
        <f>SUM(H168:L168)</f>
        <v>7349000</v>
      </c>
      <c r="G168" s="7"/>
      <c r="H168" s="36">
        <f>4168000-1000</f>
        <v>4167000</v>
      </c>
      <c r="I168" s="33"/>
      <c r="J168" s="36">
        <v>728000</v>
      </c>
      <c r="K168" s="33"/>
      <c r="L168" s="36">
        <v>2454000</v>
      </c>
      <c r="M168" s="33"/>
      <c r="N168" s="36">
        <v>4297000</v>
      </c>
      <c r="O168" s="33"/>
      <c r="P168" s="36">
        <v>3052000</v>
      </c>
      <c r="Q168" s="33"/>
      <c r="R168" s="36">
        <v>0</v>
      </c>
      <c r="S168" s="29">
        <f t="shared" si="4"/>
        <v>0</v>
      </c>
    </row>
    <row r="169" spans="1:19" x14ac:dyDescent="0.25"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29">
        <f t="shared" si="4"/>
        <v>0</v>
      </c>
    </row>
    <row r="170" spans="1:19" x14ac:dyDescent="0.25">
      <c r="B170" s="38" t="s">
        <v>23</v>
      </c>
      <c r="F170" s="58">
        <f>SUM(H170:L170)</f>
        <v>12000</v>
      </c>
      <c r="G170" s="7"/>
      <c r="H170" s="36">
        <v>0</v>
      </c>
      <c r="I170" s="33"/>
      <c r="J170" s="36">
        <v>0</v>
      </c>
      <c r="K170" s="33"/>
      <c r="L170" s="36">
        <v>12000</v>
      </c>
      <c r="M170" s="33"/>
      <c r="N170" s="36">
        <v>9000</v>
      </c>
      <c r="O170" s="33"/>
      <c r="P170" s="36">
        <f>4000-1000</f>
        <v>3000</v>
      </c>
      <c r="Q170" s="33"/>
      <c r="R170" s="36">
        <v>0</v>
      </c>
      <c r="S170" s="29">
        <f t="shared" si="4"/>
        <v>0</v>
      </c>
    </row>
    <row r="171" spans="1:19" x14ac:dyDescent="0.25"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29">
        <f t="shared" si="4"/>
        <v>0</v>
      </c>
    </row>
    <row r="172" spans="1:19" x14ac:dyDescent="0.25">
      <c r="A172" s="32"/>
      <c r="B172" s="32" t="s">
        <v>25</v>
      </c>
      <c r="C172" s="30"/>
      <c r="D172" s="30"/>
      <c r="F172" s="58">
        <f>SUM(H172:L172)</f>
        <v>384000</v>
      </c>
      <c r="G172" s="7"/>
      <c r="H172" s="36">
        <v>1000</v>
      </c>
      <c r="I172" s="33"/>
      <c r="J172" s="36">
        <v>0</v>
      </c>
      <c r="K172" s="33"/>
      <c r="L172" s="36">
        <v>383000</v>
      </c>
      <c r="M172" s="33"/>
      <c r="N172" s="36">
        <v>282000</v>
      </c>
      <c r="O172" s="33"/>
      <c r="P172" s="36">
        <v>102000</v>
      </c>
      <c r="Q172" s="33"/>
      <c r="R172" s="36">
        <v>0</v>
      </c>
      <c r="S172" s="29">
        <f t="shared" si="4"/>
        <v>0</v>
      </c>
    </row>
    <row r="173" spans="1:19" x14ac:dyDescent="0.25">
      <c r="A173" s="32"/>
      <c r="B173" s="32"/>
      <c r="C173" s="30"/>
      <c r="D173" s="30"/>
      <c r="G173" s="7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29">
        <f t="shared" si="4"/>
        <v>0</v>
      </c>
    </row>
    <row r="174" spans="1:19" x14ac:dyDescent="0.25">
      <c r="B174" s="38" t="s">
        <v>30</v>
      </c>
      <c r="F174" s="58">
        <f>SUM(H174:L174)</f>
        <v>18000</v>
      </c>
      <c r="G174" s="7"/>
      <c r="H174" s="36">
        <v>0</v>
      </c>
      <c r="I174" s="33"/>
      <c r="J174" s="36">
        <v>0</v>
      </c>
      <c r="K174" s="33"/>
      <c r="L174" s="36">
        <v>18000</v>
      </c>
      <c r="M174" s="33"/>
      <c r="N174" s="36">
        <v>15000</v>
      </c>
      <c r="O174" s="33"/>
      <c r="P174" s="36">
        <f>2000+1000</f>
        <v>3000</v>
      </c>
      <c r="Q174" s="33"/>
      <c r="R174" s="36">
        <v>0</v>
      </c>
      <c r="S174" s="29">
        <f t="shared" si="4"/>
        <v>0</v>
      </c>
    </row>
    <row r="175" spans="1:19" x14ac:dyDescent="0.25">
      <c r="G175" s="7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29">
        <f t="shared" si="4"/>
        <v>0</v>
      </c>
    </row>
    <row r="176" spans="1:19" x14ac:dyDescent="0.25">
      <c r="B176" s="22"/>
      <c r="E176" s="30" t="s">
        <v>68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29">
        <f t="shared" si="4"/>
        <v>0</v>
      </c>
    </row>
    <row r="177" spans="1:19" x14ac:dyDescent="0.25">
      <c r="B177" s="22"/>
      <c r="E177" s="30" t="s">
        <v>69</v>
      </c>
      <c r="F177" s="58">
        <f>SUM(H177:L177)</f>
        <v>7763000</v>
      </c>
      <c r="G177" s="7"/>
      <c r="H177" s="58">
        <f>+H168+H170+H174+H172</f>
        <v>4168000</v>
      </c>
      <c r="I177" s="18"/>
      <c r="J177" s="58">
        <f>+J168+J170+J174+J172</f>
        <v>728000</v>
      </c>
      <c r="K177" s="18"/>
      <c r="L177" s="58">
        <f>+L168+L170+L174+L172</f>
        <v>2867000</v>
      </c>
      <c r="M177" s="18"/>
      <c r="N177" s="58">
        <f>+N168+N170+N174+N172</f>
        <v>4603000</v>
      </c>
      <c r="O177" s="18"/>
      <c r="P177" s="58">
        <f>+P168+P170+P174+P172</f>
        <v>3160000</v>
      </c>
      <c r="Q177" s="18"/>
      <c r="R177" s="58">
        <f>+R168+R170+R174+R172</f>
        <v>0</v>
      </c>
      <c r="S177" s="29">
        <f t="shared" si="4"/>
        <v>0</v>
      </c>
    </row>
    <row r="178" spans="1:19" x14ac:dyDescent="0.25">
      <c r="B178" s="22"/>
      <c r="G178" s="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29">
        <f t="shared" si="4"/>
        <v>0</v>
      </c>
    </row>
    <row r="179" spans="1:19" x14ac:dyDescent="0.25">
      <c r="A179" s="22" t="s">
        <v>70</v>
      </c>
      <c r="B179" s="22"/>
      <c r="F179" s="3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29">
        <f t="shared" si="4"/>
        <v>0</v>
      </c>
    </row>
    <row r="180" spans="1:19" x14ac:dyDescent="0.25">
      <c r="B180" s="22"/>
      <c r="C180" s="22"/>
      <c r="E180" s="38"/>
      <c r="F180" s="3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29">
        <f t="shared" si="4"/>
        <v>0</v>
      </c>
    </row>
    <row r="181" spans="1:19" x14ac:dyDescent="0.25">
      <c r="B181" s="38" t="s">
        <v>12</v>
      </c>
      <c r="F181" s="58">
        <f>SUM(H181:L181)</f>
        <v>29505000</v>
      </c>
      <c r="G181" s="7"/>
      <c r="H181" s="36">
        <v>16775000</v>
      </c>
      <c r="I181" s="33"/>
      <c r="J181" s="36">
        <v>9226000</v>
      </c>
      <c r="K181" s="33"/>
      <c r="L181" s="36">
        <v>3504000</v>
      </c>
      <c r="M181" s="33"/>
      <c r="N181" s="36">
        <v>21672000</v>
      </c>
      <c r="O181" s="33"/>
      <c r="P181" s="36">
        <f>7834000-1000</f>
        <v>7833000</v>
      </c>
      <c r="Q181" s="33"/>
      <c r="R181" s="36">
        <v>0</v>
      </c>
      <c r="S181" s="29">
        <f t="shared" si="4"/>
        <v>0</v>
      </c>
    </row>
    <row r="182" spans="1:19" x14ac:dyDescent="0.25"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29">
        <f t="shared" si="4"/>
        <v>0</v>
      </c>
    </row>
    <row r="183" spans="1:19" x14ac:dyDescent="0.25">
      <c r="B183" s="38" t="s">
        <v>23</v>
      </c>
      <c r="F183" s="58">
        <f>SUM(H183:L183)</f>
        <v>10034000</v>
      </c>
      <c r="G183" s="7"/>
      <c r="H183" s="36">
        <f>5000+1000</f>
        <v>6000</v>
      </c>
      <c r="I183" s="33"/>
      <c r="J183" s="36">
        <v>2408000</v>
      </c>
      <c r="K183" s="33"/>
      <c r="L183" s="36">
        <v>7620000</v>
      </c>
      <c r="M183" s="33"/>
      <c r="N183" s="36">
        <v>6602000</v>
      </c>
      <c r="O183" s="33"/>
      <c r="P183" s="36">
        <f>3438000+1000</f>
        <v>3439000</v>
      </c>
      <c r="Q183" s="33"/>
      <c r="R183" s="36">
        <v>7000</v>
      </c>
      <c r="S183" s="29">
        <f t="shared" si="4"/>
        <v>0</v>
      </c>
    </row>
    <row r="184" spans="1:19" x14ac:dyDescent="0.25">
      <c r="F184" s="39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29">
        <f t="shared" si="4"/>
        <v>0</v>
      </c>
    </row>
    <row r="185" spans="1:19" x14ac:dyDescent="0.25">
      <c r="A185" s="32"/>
      <c r="B185" s="32" t="s">
        <v>25</v>
      </c>
      <c r="C185" s="30"/>
      <c r="D185" s="30"/>
      <c r="F185" s="58">
        <f>SUM(H185:L185)</f>
        <v>94000</v>
      </c>
      <c r="G185" s="7"/>
      <c r="H185" s="36">
        <v>0</v>
      </c>
      <c r="I185" s="33"/>
      <c r="J185" s="36">
        <v>0</v>
      </c>
      <c r="K185" s="33"/>
      <c r="L185" s="36">
        <v>94000</v>
      </c>
      <c r="M185" s="33"/>
      <c r="N185" s="36">
        <v>34000</v>
      </c>
      <c r="O185" s="33"/>
      <c r="P185" s="36">
        <v>60000</v>
      </c>
      <c r="Q185" s="33"/>
      <c r="R185" s="36">
        <v>0</v>
      </c>
      <c r="S185" s="29">
        <f t="shared" si="4"/>
        <v>0</v>
      </c>
    </row>
    <row r="186" spans="1:19" x14ac:dyDescent="0.25">
      <c r="F186" s="39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29">
        <f t="shared" si="4"/>
        <v>0</v>
      </c>
    </row>
    <row r="187" spans="1:19" x14ac:dyDescent="0.25">
      <c r="B187" s="38" t="s">
        <v>30</v>
      </c>
      <c r="F187" s="58">
        <f>SUM(H187:L187)</f>
        <v>14318000</v>
      </c>
      <c r="G187" s="7"/>
      <c r="H187" s="36">
        <v>694000</v>
      </c>
      <c r="I187" s="33"/>
      <c r="J187" s="36">
        <v>13233000</v>
      </c>
      <c r="K187" s="33"/>
      <c r="L187" s="36">
        <v>391000</v>
      </c>
      <c r="M187" s="33"/>
      <c r="N187" s="36">
        <v>7556000</v>
      </c>
      <c r="O187" s="33"/>
      <c r="P187" s="36">
        <f>6764000+1000</f>
        <v>6765000</v>
      </c>
      <c r="Q187" s="33"/>
      <c r="R187" s="36">
        <v>3000</v>
      </c>
      <c r="S187" s="29">
        <f t="shared" si="4"/>
        <v>0</v>
      </c>
    </row>
    <row r="188" spans="1:19" x14ac:dyDescent="0.25"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29">
        <f t="shared" si="4"/>
        <v>0</v>
      </c>
    </row>
    <row r="189" spans="1:19" x14ac:dyDescent="0.25">
      <c r="E189" s="30" t="s">
        <v>71</v>
      </c>
      <c r="F189" s="58">
        <f>SUM(H189:L189)</f>
        <v>53951000</v>
      </c>
      <c r="G189" s="7"/>
      <c r="H189" s="58">
        <f>+H181+H183+H185+H187</f>
        <v>17475000</v>
      </c>
      <c r="I189" s="18"/>
      <c r="J189" s="58">
        <f>+J181+J183+J185+J187</f>
        <v>24867000</v>
      </c>
      <c r="K189" s="18"/>
      <c r="L189" s="58">
        <f>+L181+L183+L185+L187</f>
        <v>11609000</v>
      </c>
      <c r="M189" s="18"/>
      <c r="N189" s="58">
        <f>+N181+N183+N185+N187</f>
        <v>35864000</v>
      </c>
      <c r="O189" s="18"/>
      <c r="P189" s="58">
        <f>+P181+P183+P185+P187</f>
        <v>18097000</v>
      </c>
      <c r="Q189" s="18"/>
      <c r="R189" s="58">
        <f>+R181+R183+R187</f>
        <v>10000</v>
      </c>
      <c r="S189" s="29">
        <f t="shared" si="4"/>
        <v>0</v>
      </c>
    </row>
    <row r="190" spans="1:19" x14ac:dyDescent="0.25"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29">
        <f t="shared" si="4"/>
        <v>0</v>
      </c>
    </row>
    <row r="191" spans="1:19" x14ac:dyDescent="0.25">
      <c r="A191" s="22" t="s">
        <v>72</v>
      </c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29">
        <f t="shared" si="4"/>
        <v>0</v>
      </c>
    </row>
    <row r="192" spans="1:19" x14ac:dyDescent="0.25"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29">
        <f t="shared" si="4"/>
        <v>0</v>
      </c>
    </row>
    <row r="193" spans="2:19" x14ac:dyDescent="0.25">
      <c r="B193" s="38" t="s">
        <v>12</v>
      </c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29">
        <f t="shared" si="4"/>
        <v>0</v>
      </c>
    </row>
    <row r="194" spans="2:19" x14ac:dyDescent="0.25">
      <c r="C194" s="30" t="s">
        <v>73</v>
      </c>
      <c r="D194" s="30"/>
      <c r="E194" s="34"/>
      <c r="F194" s="18">
        <f>SUM(H194:L194)</f>
        <v>2759000</v>
      </c>
      <c r="G194" s="35"/>
      <c r="H194" s="33">
        <v>2401000</v>
      </c>
      <c r="I194" s="57"/>
      <c r="J194" s="33">
        <v>286000</v>
      </c>
      <c r="K194" s="57"/>
      <c r="L194" s="33">
        <v>72000</v>
      </c>
      <c r="M194" s="57"/>
      <c r="N194" s="33">
        <v>1854000</v>
      </c>
      <c r="O194" s="57"/>
      <c r="P194" s="33">
        <v>905000</v>
      </c>
      <c r="Q194" s="57"/>
      <c r="R194" s="33">
        <v>0</v>
      </c>
      <c r="S194" s="29">
        <f t="shared" si="4"/>
        <v>0</v>
      </c>
    </row>
    <row r="195" spans="2:19" x14ac:dyDescent="0.25">
      <c r="C195" s="30" t="s">
        <v>74</v>
      </c>
      <c r="D195" s="30"/>
      <c r="E195" s="34"/>
      <c r="G195" s="7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29">
        <f t="shared" si="4"/>
        <v>0</v>
      </c>
    </row>
    <row r="196" spans="2:19" x14ac:dyDescent="0.25">
      <c r="C196" s="30"/>
      <c r="D196" s="30"/>
      <c r="E196" s="34" t="s">
        <v>75</v>
      </c>
      <c r="F196" s="18">
        <f t="shared" ref="F196:F204" si="5">SUM(H196:L196)</f>
        <v>49000</v>
      </c>
      <c r="G196" s="35"/>
      <c r="H196" s="33">
        <v>0</v>
      </c>
      <c r="I196" s="57"/>
      <c r="J196" s="33">
        <v>0</v>
      </c>
      <c r="K196" s="57"/>
      <c r="L196" s="33">
        <v>49000</v>
      </c>
      <c r="M196" s="57"/>
      <c r="N196" s="33">
        <v>4000</v>
      </c>
      <c r="O196" s="57"/>
      <c r="P196" s="33">
        <f>46000-1000</f>
        <v>45000</v>
      </c>
      <c r="Q196" s="57"/>
      <c r="R196" s="33">
        <v>0</v>
      </c>
      <c r="S196" s="29">
        <f t="shared" si="4"/>
        <v>0</v>
      </c>
    </row>
    <row r="197" spans="2:19" x14ac:dyDescent="0.25">
      <c r="C197" s="30" t="s">
        <v>76</v>
      </c>
      <c r="D197" s="30"/>
      <c r="E197" s="34"/>
      <c r="F197" s="18">
        <f t="shared" si="5"/>
        <v>7284000</v>
      </c>
      <c r="G197" s="35"/>
      <c r="H197" s="33">
        <v>6685000</v>
      </c>
      <c r="I197" s="57"/>
      <c r="J197" s="33">
        <f>179000+1000</f>
        <v>180000</v>
      </c>
      <c r="K197" s="57"/>
      <c r="L197" s="33">
        <v>419000</v>
      </c>
      <c r="M197" s="57"/>
      <c r="N197" s="33">
        <v>4781000</v>
      </c>
      <c r="O197" s="57"/>
      <c r="P197" s="33">
        <f>2502000+1000</f>
        <v>2503000</v>
      </c>
      <c r="Q197" s="57"/>
      <c r="R197" s="33">
        <v>0</v>
      </c>
      <c r="S197" s="29">
        <f t="shared" si="4"/>
        <v>0</v>
      </c>
    </row>
    <row r="198" spans="2:19" x14ac:dyDescent="0.25">
      <c r="C198" s="30" t="s">
        <v>77</v>
      </c>
      <c r="D198" s="30"/>
      <c r="E198" s="34"/>
      <c r="F198" s="18">
        <f t="shared" si="5"/>
        <v>491000</v>
      </c>
      <c r="G198" s="35"/>
      <c r="H198" s="33">
        <f>358000+1000</f>
        <v>359000</v>
      </c>
      <c r="I198" s="57"/>
      <c r="J198" s="33">
        <v>40000</v>
      </c>
      <c r="K198" s="57"/>
      <c r="L198" s="33">
        <v>92000</v>
      </c>
      <c r="M198" s="57"/>
      <c r="N198" s="33">
        <f>58000</f>
        <v>58000</v>
      </c>
      <c r="O198" s="57"/>
      <c r="P198" s="33">
        <v>433000</v>
      </c>
      <c r="Q198" s="57"/>
      <c r="R198" s="33">
        <v>0</v>
      </c>
      <c r="S198" s="29">
        <f t="shared" si="4"/>
        <v>0</v>
      </c>
    </row>
    <row r="199" spans="2:19" x14ac:dyDescent="0.25">
      <c r="C199" s="30" t="s">
        <v>78</v>
      </c>
      <c r="D199" s="30"/>
      <c r="E199" s="34"/>
      <c r="F199" s="18">
        <f t="shared" si="5"/>
        <v>4360000</v>
      </c>
      <c r="G199" s="35"/>
      <c r="H199" s="33">
        <v>3449000</v>
      </c>
      <c r="I199" s="57"/>
      <c r="J199" s="33">
        <v>371000</v>
      </c>
      <c r="K199" s="57"/>
      <c r="L199" s="33">
        <v>540000</v>
      </c>
      <c r="M199" s="57"/>
      <c r="N199" s="33">
        <v>2768000</v>
      </c>
      <c r="O199" s="57"/>
      <c r="P199" s="33">
        <v>1592000</v>
      </c>
      <c r="Q199" s="57"/>
      <c r="R199" s="33">
        <v>0</v>
      </c>
      <c r="S199" s="29">
        <f t="shared" ref="S199:S261" si="6">+F199-N199-P199+R199</f>
        <v>0</v>
      </c>
    </row>
    <row r="200" spans="2:19" x14ac:dyDescent="0.25">
      <c r="C200" s="30" t="s">
        <v>79</v>
      </c>
      <c r="D200" s="30"/>
      <c r="E200" s="34"/>
      <c r="F200" s="18">
        <f t="shared" si="5"/>
        <v>2462000</v>
      </c>
      <c r="G200" s="35"/>
      <c r="H200" s="33">
        <v>1953000</v>
      </c>
      <c r="I200" s="57"/>
      <c r="J200" s="33">
        <v>317000</v>
      </c>
      <c r="K200" s="57"/>
      <c r="L200" s="33">
        <v>192000</v>
      </c>
      <c r="M200" s="57"/>
      <c r="N200" s="33">
        <v>1609000</v>
      </c>
      <c r="O200" s="57"/>
      <c r="P200" s="33">
        <v>853000</v>
      </c>
      <c r="Q200" s="57"/>
      <c r="R200" s="33">
        <v>0</v>
      </c>
      <c r="S200" s="29">
        <f t="shared" si="6"/>
        <v>0</v>
      </c>
    </row>
    <row r="201" spans="2:19" x14ac:dyDescent="0.25">
      <c r="C201" s="30" t="s">
        <v>80</v>
      </c>
      <c r="D201" s="30"/>
      <c r="E201" s="34"/>
      <c r="F201" s="18">
        <f t="shared" si="5"/>
        <v>4074000</v>
      </c>
      <c r="G201" s="35"/>
      <c r="H201" s="33">
        <v>3535000</v>
      </c>
      <c r="I201" s="57"/>
      <c r="J201" s="33">
        <v>158000</v>
      </c>
      <c r="K201" s="57"/>
      <c r="L201" s="33">
        <v>381000</v>
      </c>
      <c r="M201" s="57"/>
      <c r="N201" s="33">
        <v>2688000</v>
      </c>
      <c r="O201" s="57"/>
      <c r="P201" s="33">
        <v>1386000</v>
      </c>
      <c r="Q201" s="57"/>
      <c r="R201" s="33">
        <v>0</v>
      </c>
      <c r="S201" s="29">
        <f t="shared" si="6"/>
        <v>0</v>
      </c>
    </row>
    <row r="202" spans="2:19" x14ac:dyDescent="0.25">
      <c r="C202" s="30" t="s">
        <v>81</v>
      </c>
      <c r="D202" s="30"/>
      <c r="E202" s="34"/>
      <c r="F202" s="18">
        <f t="shared" si="5"/>
        <v>531000</v>
      </c>
      <c r="G202" s="35"/>
      <c r="H202" s="33">
        <v>373000</v>
      </c>
      <c r="I202" s="57"/>
      <c r="J202" s="33">
        <v>5000</v>
      </c>
      <c r="K202" s="57"/>
      <c r="L202" s="33">
        <v>153000</v>
      </c>
      <c r="M202" s="57"/>
      <c r="N202" s="33">
        <v>264000</v>
      </c>
      <c r="O202" s="57"/>
      <c r="P202" s="33">
        <v>267000</v>
      </c>
      <c r="Q202" s="57"/>
      <c r="R202" s="33">
        <v>0</v>
      </c>
      <c r="S202" s="29">
        <f t="shared" si="6"/>
        <v>0</v>
      </c>
    </row>
    <row r="203" spans="2:19" x14ac:dyDescent="0.25">
      <c r="C203" s="30" t="s">
        <v>460</v>
      </c>
      <c r="D203" s="30"/>
      <c r="E203" s="34"/>
      <c r="F203" s="18">
        <f t="shared" si="5"/>
        <v>3141000</v>
      </c>
      <c r="G203" s="35"/>
      <c r="H203" s="33">
        <v>3074000</v>
      </c>
      <c r="I203" s="57"/>
      <c r="J203" s="33">
        <v>67000</v>
      </c>
      <c r="K203" s="57"/>
      <c r="L203" s="33">
        <v>0</v>
      </c>
      <c r="M203" s="57"/>
      <c r="N203" s="33">
        <f>2136000+1000</f>
        <v>2137000</v>
      </c>
      <c r="O203" s="57"/>
      <c r="P203" s="33">
        <v>1004000</v>
      </c>
      <c r="Q203" s="57"/>
      <c r="R203" s="33">
        <v>0</v>
      </c>
      <c r="S203" s="29">
        <f t="shared" si="6"/>
        <v>0</v>
      </c>
    </row>
    <row r="204" spans="2:19" x14ac:dyDescent="0.25">
      <c r="C204" s="30" t="s">
        <v>82</v>
      </c>
      <c r="D204" s="30"/>
      <c r="E204" s="34"/>
      <c r="F204" s="18">
        <f t="shared" si="5"/>
        <v>399000</v>
      </c>
      <c r="G204" s="35"/>
      <c r="H204" s="33">
        <v>399000</v>
      </c>
      <c r="I204" s="57"/>
      <c r="J204" s="33">
        <v>0</v>
      </c>
      <c r="K204" s="57"/>
      <c r="L204" s="33">
        <v>0</v>
      </c>
      <c r="M204" s="57"/>
      <c r="N204" s="33">
        <v>306000</v>
      </c>
      <c r="O204" s="57"/>
      <c r="P204" s="33">
        <v>93000</v>
      </c>
      <c r="Q204" s="57"/>
      <c r="R204" s="33">
        <v>0</v>
      </c>
      <c r="S204" s="29">
        <f t="shared" si="6"/>
        <v>0</v>
      </c>
    </row>
    <row r="205" spans="2:19" x14ac:dyDescent="0.25">
      <c r="C205" s="30" t="s">
        <v>83</v>
      </c>
      <c r="D205" s="30"/>
      <c r="E205" s="34"/>
      <c r="G205" s="7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29">
        <f t="shared" si="6"/>
        <v>0</v>
      </c>
    </row>
    <row r="206" spans="2:19" x14ac:dyDescent="0.25">
      <c r="C206" s="30" t="s">
        <v>21</v>
      </c>
      <c r="D206" s="30" t="s">
        <v>21</v>
      </c>
      <c r="E206" s="34" t="s">
        <v>84</v>
      </c>
      <c r="F206" s="18">
        <f>SUM(H206:L206)</f>
        <v>2000</v>
      </c>
      <c r="G206" s="35"/>
      <c r="H206" s="33">
        <v>0</v>
      </c>
      <c r="I206" s="57"/>
      <c r="J206" s="33">
        <v>2000</v>
      </c>
      <c r="K206" s="57"/>
      <c r="L206" s="33">
        <v>0</v>
      </c>
      <c r="M206" s="57"/>
      <c r="N206" s="33">
        <v>0</v>
      </c>
      <c r="O206" s="57"/>
      <c r="P206" s="33">
        <v>2000</v>
      </c>
      <c r="Q206" s="57"/>
      <c r="R206" s="33">
        <v>0</v>
      </c>
      <c r="S206" s="29">
        <f t="shared" si="6"/>
        <v>0</v>
      </c>
    </row>
    <row r="207" spans="2:19" x14ac:dyDescent="0.25">
      <c r="C207" s="30" t="s">
        <v>85</v>
      </c>
      <c r="D207" s="30"/>
      <c r="E207" s="34"/>
      <c r="F207" s="18">
        <f>SUM(H207:L207)</f>
        <v>1000</v>
      </c>
      <c r="G207" s="35"/>
      <c r="H207" s="33">
        <v>0</v>
      </c>
      <c r="I207" s="57"/>
      <c r="J207" s="33">
        <v>0</v>
      </c>
      <c r="K207" s="57"/>
      <c r="L207" s="33">
        <v>1000</v>
      </c>
      <c r="M207" s="57"/>
      <c r="N207" s="33">
        <v>0</v>
      </c>
      <c r="O207" s="57"/>
      <c r="P207" s="33">
        <v>1000</v>
      </c>
      <c r="Q207" s="57"/>
      <c r="R207" s="33">
        <v>0</v>
      </c>
      <c r="S207" s="29">
        <f t="shared" si="6"/>
        <v>0</v>
      </c>
    </row>
    <row r="208" spans="2:19" x14ac:dyDescent="0.25">
      <c r="C208" s="30" t="s">
        <v>86</v>
      </c>
      <c r="D208" s="30"/>
      <c r="E208" s="34"/>
      <c r="F208" s="18">
        <f>SUM(H208:L208)</f>
        <v>3209000</v>
      </c>
      <c r="G208" s="35"/>
      <c r="H208" s="33">
        <v>2556000</v>
      </c>
      <c r="I208" s="57"/>
      <c r="J208" s="33">
        <v>118000</v>
      </c>
      <c r="K208" s="57"/>
      <c r="L208" s="33">
        <v>535000</v>
      </c>
      <c r="M208" s="57"/>
      <c r="N208" s="33">
        <v>2111000</v>
      </c>
      <c r="O208" s="57"/>
      <c r="P208" s="33">
        <f>1097000+1000</f>
        <v>1098000</v>
      </c>
      <c r="Q208" s="57"/>
      <c r="R208" s="33">
        <v>0</v>
      </c>
      <c r="S208" s="29">
        <f t="shared" si="6"/>
        <v>0</v>
      </c>
    </row>
    <row r="209" spans="3:19" x14ac:dyDescent="0.25">
      <c r="C209" s="30" t="s">
        <v>87</v>
      </c>
      <c r="D209" s="30"/>
      <c r="E209" s="34"/>
      <c r="F209" s="18">
        <f>SUM(H209:L209)</f>
        <v>2387000</v>
      </c>
      <c r="G209" s="35"/>
      <c r="H209" s="33">
        <v>1879000</v>
      </c>
      <c r="I209" s="57"/>
      <c r="J209" s="33">
        <v>505000</v>
      </c>
      <c r="K209" s="57"/>
      <c r="L209" s="33">
        <v>3000</v>
      </c>
      <c r="M209" s="57"/>
      <c r="N209" s="33">
        <v>1726000</v>
      </c>
      <c r="O209" s="57"/>
      <c r="P209" s="33">
        <v>661000</v>
      </c>
      <c r="Q209" s="57"/>
      <c r="R209" s="33">
        <v>0</v>
      </c>
      <c r="S209" s="29">
        <f t="shared" si="6"/>
        <v>0</v>
      </c>
    </row>
    <row r="210" spans="3:19" x14ac:dyDescent="0.25">
      <c r="C210" s="30" t="s">
        <v>88</v>
      </c>
      <c r="D210" s="30"/>
      <c r="E210" s="34"/>
      <c r="F210" s="18">
        <f>SUM(H210:L210)</f>
        <v>2972000</v>
      </c>
      <c r="G210" s="35"/>
      <c r="H210" s="33">
        <v>2483000</v>
      </c>
      <c r="I210" s="57"/>
      <c r="J210" s="33">
        <v>73000</v>
      </c>
      <c r="K210" s="57"/>
      <c r="L210" s="33">
        <v>416000</v>
      </c>
      <c r="M210" s="57"/>
      <c r="N210" s="33">
        <v>1960000</v>
      </c>
      <c r="O210" s="57"/>
      <c r="P210" s="33">
        <v>1012000</v>
      </c>
      <c r="Q210" s="57"/>
      <c r="R210" s="33">
        <v>0</v>
      </c>
      <c r="S210" s="29">
        <f t="shared" si="6"/>
        <v>0</v>
      </c>
    </row>
    <row r="211" spans="3:19" x14ac:dyDescent="0.25">
      <c r="C211" s="30" t="s">
        <v>89</v>
      </c>
      <c r="D211" s="30"/>
      <c r="E211" s="34"/>
      <c r="G211" s="7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29">
        <f t="shared" si="6"/>
        <v>0</v>
      </c>
    </row>
    <row r="212" spans="3:19" x14ac:dyDescent="0.25">
      <c r="C212" s="30" t="s">
        <v>21</v>
      </c>
      <c r="D212" s="30" t="s">
        <v>21</v>
      </c>
      <c r="E212" s="34" t="s">
        <v>90</v>
      </c>
      <c r="F212" s="18">
        <f t="shared" ref="F212:F225" si="7">SUM(H212:L212)</f>
        <v>490000</v>
      </c>
      <c r="G212" s="35"/>
      <c r="H212" s="33">
        <v>461000</v>
      </c>
      <c r="I212" s="57"/>
      <c r="J212" s="33">
        <v>1000</v>
      </c>
      <c r="K212" s="57"/>
      <c r="L212" s="33">
        <v>28000</v>
      </c>
      <c r="M212" s="57"/>
      <c r="N212" s="33">
        <v>359000</v>
      </c>
      <c r="O212" s="57"/>
      <c r="P212" s="33">
        <v>131000</v>
      </c>
      <c r="Q212" s="57"/>
      <c r="R212" s="33">
        <v>0</v>
      </c>
      <c r="S212" s="29">
        <f t="shared" si="6"/>
        <v>0</v>
      </c>
    </row>
    <row r="213" spans="3:19" x14ac:dyDescent="0.25">
      <c r="C213" s="30" t="s">
        <v>36</v>
      </c>
      <c r="D213" s="30"/>
      <c r="E213" s="34"/>
      <c r="F213" s="18">
        <f t="shared" si="7"/>
        <v>7254000</v>
      </c>
      <c r="G213" s="35"/>
      <c r="H213" s="33">
        <v>4542000</v>
      </c>
      <c r="I213" s="57"/>
      <c r="J213" s="33">
        <f>1857000-1000</f>
        <v>1856000</v>
      </c>
      <c r="K213" s="57"/>
      <c r="L213" s="33">
        <v>856000</v>
      </c>
      <c r="M213" s="57"/>
      <c r="N213" s="33">
        <v>4798000</v>
      </c>
      <c r="O213" s="57"/>
      <c r="P213" s="33">
        <v>2456000</v>
      </c>
      <c r="Q213" s="57"/>
      <c r="R213" s="33">
        <v>0</v>
      </c>
      <c r="S213" s="29">
        <f t="shared" si="6"/>
        <v>0</v>
      </c>
    </row>
    <row r="214" spans="3:19" x14ac:dyDescent="0.25">
      <c r="C214" s="30" t="s">
        <v>91</v>
      </c>
      <c r="D214" s="30"/>
      <c r="E214" s="34"/>
      <c r="F214" s="18">
        <f t="shared" si="7"/>
        <v>1612000</v>
      </c>
      <c r="G214" s="35"/>
      <c r="H214" s="33">
        <f>1419000-1000</f>
        <v>1418000</v>
      </c>
      <c r="I214" s="57"/>
      <c r="J214" s="33">
        <v>195000</v>
      </c>
      <c r="K214" s="57"/>
      <c r="L214" s="33">
        <v>-1000</v>
      </c>
      <c r="M214" s="57"/>
      <c r="N214" s="33">
        <v>1163000</v>
      </c>
      <c r="O214" s="57"/>
      <c r="P214" s="33">
        <v>449000</v>
      </c>
      <c r="Q214" s="57"/>
      <c r="R214" s="33">
        <v>0</v>
      </c>
      <c r="S214" s="29">
        <f t="shared" si="6"/>
        <v>0</v>
      </c>
    </row>
    <row r="215" spans="3:19" x14ac:dyDescent="0.25">
      <c r="C215" s="30" t="s">
        <v>92</v>
      </c>
      <c r="D215" s="30"/>
      <c r="E215" s="34"/>
      <c r="F215" s="18">
        <f t="shared" si="7"/>
        <v>3749000</v>
      </c>
      <c r="G215" s="35"/>
      <c r="H215" s="33">
        <v>3265000</v>
      </c>
      <c r="I215" s="57"/>
      <c r="J215" s="33">
        <v>87000</v>
      </c>
      <c r="K215" s="57"/>
      <c r="L215" s="33">
        <v>397000</v>
      </c>
      <c r="M215" s="57"/>
      <c r="N215" s="33">
        <v>2440000</v>
      </c>
      <c r="O215" s="57"/>
      <c r="P215" s="33">
        <v>1309000</v>
      </c>
      <c r="Q215" s="57"/>
      <c r="R215" s="33">
        <v>0</v>
      </c>
      <c r="S215" s="29">
        <f t="shared" si="6"/>
        <v>0</v>
      </c>
    </row>
    <row r="216" spans="3:19" x14ac:dyDescent="0.25">
      <c r="C216" s="30" t="s">
        <v>93</v>
      </c>
      <c r="D216" s="30"/>
      <c r="E216" s="34"/>
      <c r="F216" s="18">
        <f t="shared" si="7"/>
        <v>5000000</v>
      </c>
      <c r="G216" s="35"/>
      <c r="H216" s="33">
        <v>4292000</v>
      </c>
      <c r="I216" s="57"/>
      <c r="J216" s="33">
        <v>441000</v>
      </c>
      <c r="K216" s="57"/>
      <c r="L216" s="33">
        <v>267000</v>
      </c>
      <c r="M216" s="57"/>
      <c r="N216" s="33">
        <v>3068000</v>
      </c>
      <c r="O216" s="57"/>
      <c r="P216" s="33">
        <v>1994000</v>
      </c>
      <c r="Q216" s="57"/>
      <c r="R216" s="33">
        <v>62000</v>
      </c>
      <c r="S216" s="29">
        <f t="shared" si="6"/>
        <v>0</v>
      </c>
    </row>
    <row r="217" spans="3:19" x14ac:dyDescent="0.25">
      <c r="C217" s="30" t="s">
        <v>94</v>
      </c>
      <c r="D217" s="30"/>
      <c r="E217" s="34"/>
      <c r="F217" s="18">
        <f t="shared" si="7"/>
        <v>5678000</v>
      </c>
      <c r="G217" s="35"/>
      <c r="H217" s="33">
        <v>4444000</v>
      </c>
      <c r="I217" s="57"/>
      <c r="J217" s="33">
        <v>493000</v>
      </c>
      <c r="K217" s="57"/>
      <c r="L217" s="33">
        <v>741000</v>
      </c>
      <c r="M217" s="57"/>
      <c r="N217" s="33">
        <v>3875000</v>
      </c>
      <c r="O217" s="57"/>
      <c r="P217" s="33">
        <f>1804000-1000</f>
        <v>1803000</v>
      </c>
      <c r="Q217" s="57"/>
      <c r="R217" s="33">
        <v>0</v>
      </c>
      <c r="S217" s="29">
        <f t="shared" si="6"/>
        <v>0</v>
      </c>
    </row>
    <row r="218" spans="3:19" x14ac:dyDescent="0.25">
      <c r="C218" s="30" t="s">
        <v>95</v>
      </c>
      <c r="D218" s="30"/>
      <c r="E218" s="34"/>
      <c r="F218" s="18">
        <f t="shared" si="7"/>
        <v>16047000</v>
      </c>
      <c r="G218" s="35"/>
      <c r="H218" s="33">
        <v>13824000</v>
      </c>
      <c r="I218" s="57"/>
      <c r="J218" s="33">
        <v>979000</v>
      </c>
      <c r="K218" s="57"/>
      <c r="L218" s="33">
        <v>1244000</v>
      </c>
      <c r="M218" s="57"/>
      <c r="N218" s="33">
        <v>11280000</v>
      </c>
      <c r="O218" s="57"/>
      <c r="P218" s="33">
        <v>4767000</v>
      </c>
      <c r="Q218" s="57"/>
      <c r="R218" s="33">
        <v>0</v>
      </c>
      <c r="S218" s="29">
        <f t="shared" si="6"/>
        <v>0</v>
      </c>
    </row>
    <row r="219" spans="3:19" x14ac:dyDescent="0.25">
      <c r="C219" s="30" t="s">
        <v>96</v>
      </c>
      <c r="D219" s="30"/>
      <c r="E219" s="34"/>
      <c r="F219" s="18">
        <f t="shared" si="7"/>
        <v>322000</v>
      </c>
      <c r="G219" s="35"/>
      <c r="H219" s="33">
        <f>321000-1000</f>
        <v>320000</v>
      </c>
      <c r="I219" s="57"/>
      <c r="J219" s="33">
        <v>2000</v>
      </c>
      <c r="K219" s="57"/>
      <c r="L219" s="33">
        <v>0</v>
      </c>
      <c r="M219" s="57"/>
      <c r="N219" s="33">
        <v>227000</v>
      </c>
      <c r="O219" s="57"/>
      <c r="P219" s="33">
        <v>95000</v>
      </c>
      <c r="Q219" s="57"/>
      <c r="R219" s="33">
        <v>0</v>
      </c>
      <c r="S219" s="29">
        <f t="shared" si="6"/>
        <v>0</v>
      </c>
    </row>
    <row r="220" spans="3:19" x14ac:dyDescent="0.25">
      <c r="C220" s="30" t="s">
        <v>97</v>
      </c>
      <c r="D220" s="30"/>
      <c r="E220" s="34"/>
      <c r="F220" s="18">
        <f t="shared" si="7"/>
        <v>11687000</v>
      </c>
      <c r="G220" s="35"/>
      <c r="H220" s="33">
        <v>10743000</v>
      </c>
      <c r="I220" s="57"/>
      <c r="J220" s="33">
        <v>352000</v>
      </c>
      <c r="K220" s="57"/>
      <c r="L220" s="33">
        <v>592000</v>
      </c>
      <c r="M220" s="57"/>
      <c r="N220" s="33">
        <v>8034000</v>
      </c>
      <c r="O220" s="57"/>
      <c r="P220" s="33">
        <v>3653000</v>
      </c>
      <c r="Q220" s="57"/>
      <c r="R220" s="33">
        <v>0</v>
      </c>
      <c r="S220" s="29">
        <f t="shared" si="6"/>
        <v>0</v>
      </c>
    </row>
    <row r="221" spans="3:19" x14ac:dyDescent="0.25">
      <c r="C221" s="30" t="s">
        <v>98</v>
      </c>
      <c r="D221" s="30"/>
      <c r="E221" s="34"/>
      <c r="F221" s="18">
        <f t="shared" si="7"/>
        <v>5551000</v>
      </c>
      <c r="G221" s="35"/>
      <c r="H221" s="33">
        <v>4874000</v>
      </c>
      <c r="I221" s="57"/>
      <c r="J221" s="33">
        <v>574000</v>
      </c>
      <c r="K221" s="57"/>
      <c r="L221" s="33">
        <v>103000</v>
      </c>
      <c r="M221" s="57"/>
      <c r="N221" s="33">
        <v>3809000</v>
      </c>
      <c r="O221" s="57"/>
      <c r="P221" s="33">
        <v>1742000</v>
      </c>
      <c r="Q221" s="57"/>
      <c r="R221" s="33">
        <v>0</v>
      </c>
      <c r="S221" s="29">
        <f t="shared" si="6"/>
        <v>0</v>
      </c>
    </row>
    <row r="222" spans="3:19" x14ac:dyDescent="0.25">
      <c r="C222" s="30" t="s">
        <v>99</v>
      </c>
      <c r="D222" s="30"/>
      <c r="E222" s="34"/>
      <c r="F222" s="18">
        <f t="shared" si="7"/>
        <v>2128000</v>
      </c>
      <c r="G222" s="35"/>
      <c r="H222" s="33">
        <v>1977000</v>
      </c>
      <c r="I222" s="57"/>
      <c r="J222" s="33">
        <v>49000</v>
      </c>
      <c r="K222" s="57"/>
      <c r="L222" s="33">
        <v>102000</v>
      </c>
      <c r="M222" s="57"/>
      <c r="N222" s="33">
        <f>1454000+1000</f>
        <v>1455000</v>
      </c>
      <c r="O222" s="57"/>
      <c r="P222" s="33">
        <v>673000</v>
      </c>
      <c r="Q222" s="57"/>
      <c r="R222" s="33">
        <v>0</v>
      </c>
      <c r="S222" s="29">
        <f t="shared" si="6"/>
        <v>0</v>
      </c>
    </row>
    <row r="223" spans="3:19" x14ac:dyDescent="0.25">
      <c r="C223" s="30" t="s">
        <v>100</v>
      </c>
      <c r="D223" s="30"/>
      <c r="E223" s="34"/>
      <c r="F223" s="18">
        <f t="shared" si="7"/>
        <v>3480000</v>
      </c>
      <c r="G223" s="35"/>
      <c r="H223" s="33">
        <v>3060000</v>
      </c>
      <c r="I223" s="57"/>
      <c r="J223" s="33">
        <v>193000</v>
      </c>
      <c r="K223" s="57"/>
      <c r="L223" s="33">
        <v>227000</v>
      </c>
      <c r="M223" s="57"/>
      <c r="N223" s="33">
        <v>2317000</v>
      </c>
      <c r="O223" s="57"/>
      <c r="P223" s="33">
        <v>1163000</v>
      </c>
      <c r="Q223" s="57"/>
      <c r="R223" s="33">
        <v>0</v>
      </c>
      <c r="S223" s="29">
        <f t="shared" si="6"/>
        <v>0</v>
      </c>
    </row>
    <row r="224" spans="3:19" x14ac:dyDescent="0.25">
      <c r="C224" s="30" t="s">
        <v>101</v>
      </c>
      <c r="D224" s="30"/>
      <c r="E224" s="34"/>
      <c r="F224" s="18">
        <f t="shared" si="7"/>
        <v>3795000</v>
      </c>
      <c r="G224" s="35"/>
      <c r="H224" s="33">
        <v>3117000</v>
      </c>
      <c r="I224" s="57"/>
      <c r="J224" s="33">
        <f>504000-1000</f>
        <v>503000</v>
      </c>
      <c r="K224" s="57"/>
      <c r="L224" s="33">
        <v>175000</v>
      </c>
      <c r="M224" s="57"/>
      <c r="N224" s="33">
        <v>2398000</v>
      </c>
      <c r="O224" s="57"/>
      <c r="P224" s="33">
        <v>1397000</v>
      </c>
      <c r="Q224" s="57"/>
      <c r="R224" s="33">
        <v>0</v>
      </c>
      <c r="S224" s="29">
        <f t="shared" si="6"/>
        <v>0</v>
      </c>
    </row>
    <row r="225" spans="3:19" x14ac:dyDescent="0.25">
      <c r="C225" s="30" t="s">
        <v>102</v>
      </c>
      <c r="D225" s="30"/>
      <c r="E225" s="34"/>
      <c r="F225" s="18">
        <f t="shared" si="7"/>
        <v>2968000</v>
      </c>
      <c r="G225" s="35"/>
      <c r="H225" s="33">
        <v>2760000</v>
      </c>
      <c r="I225" s="57"/>
      <c r="J225" s="33">
        <v>81000</v>
      </c>
      <c r="K225" s="57"/>
      <c r="L225" s="33">
        <v>127000</v>
      </c>
      <c r="M225" s="57"/>
      <c r="N225" s="33">
        <v>2001000</v>
      </c>
      <c r="O225" s="57"/>
      <c r="P225" s="33">
        <v>967000</v>
      </c>
      <c r="Q225" s="57"/>
      <c r="R225" s="33">
        <v>0</v>
      </c>
      <c r="S225" s="29">
        <f t="shared" si="6"/>
        <v>0</v>
      </c>
    </row>
    <row r="226" spans="3:19" x14ac:dyDescent="0.25">
      <c r="C226" s="30" t="s">
        <v>103</v>
      </c>
      <c r="D226" s="30"/>
      <c r="E226" s="34"/>
      <c r="G226" s="7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29">
        <f t="shared" si="6"/>
        <v>0</v>
      </c>
    </row>
    <row r="227" spans="3:19" x14ac:dyDescent="0.25">
      <c r="C227" s="29"/>
      <c r="D227" s="30"/>
      <c r="E227" s="34" t="s">
        <v>90</v>
      </c>
      <c r="F227" s="18">
        <f>SUM(H227:L227)</f>
        <v>540000</v>
      </c>
      <c r="G227" s="35"/>
      <c r="H227" s="33">
        <v>503000</v>
      </c>
      <c r="I227" s="57"/>
      <c r="J227" s="33">
        <v>13000</v>
      </c>
      <c r="K227" s="57"/>
      <c r="L227" s="33">
        <v>24000</v>
      </c>
      <c r="M227" s="57"/>
      <c r="N227" s="33">
        <v>356000</v>
      </c>
      <c r="O227" s="57"/>
      <c r="P227" s="33">
        <f>185000-1000</f>
        <v>184000</v>
      </c>
      <c r="Q227" s="57"/>
      <c r="R227" s="33">
        <v>0</v>
      </c>
      <c r="S227" s="29">
        <f t="shared" si="6"/>
        <v>0</v>
      </c>
    </row>
    <row r="228" spans="3:19" x14ac:dyDescent="0.25">
      <c r="C228" s="30" t="s">
        <v>104</v>
      </c>
      <c r="D228" s="30"/>
      <c r="E228" s="34"/>
      <c r="F228" s="18">
        <f>SUM(H228:L228)</f>
        <v>11645000</v>
      </c>
      <c r="G228" s="35"/>
      <c r="H228" s="33">
        <v>10392000</v>
      </c>
      <c r="I228" s="57"/>
      <c r="J228" s="33">
        <v>392000</v>
      </c>
      <c r="K228" s="57"/>
      <c r="L228" s="33">
        <v>861000</v>
      </c>
      <c r="M228" s="57"/>
      <c r="N228" s="33">
        <v>7823000</v>
      </c>
      <c r="O228" s="57"/>
      <c r="P228" s="33">
        <v>3822000</v>
      </c>
      <c r="Q228" s="57"/>
      <c r="R228" s="33">
        <v>0</v>
      </c>
      <c r="S228" s="29">
        <f t="shared" si="6"/>
        <v>0</v>
      </c>
    </row>
    <row r="229" spans="3:19" x14ac:dyDescent="0.25">
      <c r="C229" s="30" t="s">
        <v>105</v>
      </c>
      <c r="D229" s="30"/>
      <c r="E229" s="34"/>
      <c r="F229" s="18">
        <f>SUM(H229:L229)</f>
        <v>12379000</v>
      </c>
      <c r="G229" s="35"/>
      <c r="H229" s="33">
        <v>9860000</v>
      </c>
      <c r="I229" s="57"/>
      <c r="J229" s="33">
        <v>1413000</v>
      </c>
      <c r="K229" s="57"/>
      <c r="L229" s="33">
        <v>1106000</v>
      </c>
      <c r="M229" s="57"/>
      <c r="N229" s="33">
        <v>8003000</v>
      </c>
      <c r="O229" s="57"/>
      <c r="P229" s="33">
        <v>4376000</v>
      </c>
      <c r="Q229" s="57"/>
      <c r="R229" s="33">
        <v>0</v>
      </c>
      <c r="S229" s="29">
        <f t="shared" si="6"/>
        <v>0</v>
      </c>
    </row>
    <row r="230" spans="3:19" x14ac:dyDescent="0.25">
      <c r="C230" s="30" t="s">
        <v>106</v>
      </c>
      <c r="D230" s="30"/>
      <c r="E230" s="34"/>
      <c r="G230" s="7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29">
        <f t="shared" si="6"/>
        <v>0</v>
      </c>
    </row>
    <row r="231" spans="3:19" x14ac:dyDescent="0.25">
      <c r="C231" s="29"/>
      <c r="D231" s="30"/>
      <c r="E231" s="34" t="s">
        <v>107</v>
      </c>
      <c r="F231" s="18">
        <f>SUM(H231:L231)</f>
        <v>3107000</v>
      </c>
      <c r="G231" s="35"/>
      <c r="H231" s="33">
        <v>2846000</v>
      </c>
      <c r="I231" s="57"/>
      <c r="J231" s="33">
        <v>193000</v>
      </c>
      <c r="K231" s="57"/>
      <c r="L231" s="33">
        <v>68000</v>
      </c>
      <c r="M231" s="57"/>
      <c r="N231" s="33">
        <v>1956000</v>
      </c>
      <c r="O231" s="57"/>
      <c r="P231" s="33">
        <v>1151000</v>
      </c>
      <c r="Q231" s="57"/>
      <c r="R231" s="33">
        <v>0</v>
      </c>
      <c r="S231" s="29">
        <f t="shared" si="6"/>
        <v>0</v>
      </c>
    </row>
    <row r="232" spans="3:19" x14ac:dyDescent="0.25">
      <c r="C232" s="30" t="s">
        <v>108</v>
      </c>
      <c r="D232" s="30"/>
      <c r="E232" s="34"/>
      <c r="F232" s="18">
        <f>SUM(H232:L232)</f>
        <v>1693000</v>
      </c>
      <c r="G232" s="35"/>
      <c r="H232" s="33">
        <f>1384000+1000</f>
        <v>1385000</v>
      </c>
      <c r="I232" s="57"/>
      <c r="J232" s="33">
        <v>133000</v>
      </c>
      <c r="K232" s="57"/>
      <c r="L232" s="33">
        <v>175000</v>
      </c>
      <c r="M232" s="57"/>
      <c r="N232" s="33">
        <v>1124000</v>
      </c>
      <c r="O232" s="57"/>
      <c r="P232" s="33">
        <v>569000</v>
      </c>
      <c r="Q232" s="57"/>
      <c r="R232" s="33">
        <v>0</v>
      </c>
      <c r="S232" s="29">
        <f t="shared" si="6"/>
        <v>0</v>
      </c>
    </row>
    <row r="233" spans="3:19" x14ac:dyDescent="0.25">
      <c r="C233" s="30" t="s">
        <v>109</v>
      </c>
      <c r="D233" s="30"/>
      <c r="E233" s="34"/>
      <c r="G233" s="7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29">
        <f t="shared" si="6"/>
        <v>0</v>
      </c>
    </row>
    <row r="234" spans="3:19" x14ac:dyDescent="0.25">
      <c r="C234" s="29"/>
      <c r="D234" s="30"/>
      <c r="E234" s="34" t="s">
        <v>90</v>
      </c>
      <c r="F234" s="18">
        <f t="shared" ref="F234:F249" si="8">SUM(H234:L234)</f>
        <v>354000</v>
      </c>
      <c r="G234" s="35"/>
      <c r="H234" s="33">
        <v>347000</v>
      </c>
      <c r="I234" s="57"/>
      <c r="J234" s="33">
        <v>7000</v>
      </c>
      <c r="K234" s="57"/>
      <c r="L234" s="33">
        <v>0</v>
      </c>
      <c r="M234" s="57"/>
      <c r="N234" s="33">
        <v>244000</v>
      </c>
      <c r="O234" s="57"/>
      <c r="P234" s="33">
        <v>110000</v>
      </c>
      <c r="Q234" s="57"/>
      <c r="R234" s="33">
        <v>0</v>
      </c>
      <c r="S234" s="29">
        <f t="shared" si="6"/>
        <v>0</v>
      </c>
    </row>
    <row r="235" spans="3:19" x14ac:dyDescent="0.25">
      <c r="C235" s="30" t="s">
        <v>110</v>
      </c>
      <c r="D235" s="30"/>
      <c r="E235" s="34"/>
      <c r="F235" s="18">
        <f t="shared" si="8"/>
        <v>363000</v>
      </c>
      <c r="G235" s="35"/>
      <c r="H235" s="33">
        <v>95000</v>
      </c>
      <c r="I235" s="57"/>
      <c r="J235" s="33">
        <f>187000-1000</f>
        <v>186000</v>
      </c>
      <c r="K235" s="57"/>
      <c r="L235" s="33">
        <v>82000</v>
      </c>
      <c r="M235" s="57"/>
      <c r="N235" s="33">
        <v>222000</v>
      </c>
      <c r="O235" s="57"/>
      <c r="P235" s="33">
        <v>141000</v>
      </c>
      <c r="Q235" s="57"/>
      <c r="R235" s="33">
        <v>0</v>
      </c>
      <c r="S235" s="29">
        <f t="shared" si="6"/>
        <v>0</v>
      </c>
    </row>
    <row r="236" spans="3:19" x14ac:dyDescent="0.25">
      <c r="C236" s="30" t="s">
        <v>111</v>
      </c>
      <c r="D236" s="30"/>
      <c r="E236" s="34"/>
      <c r="F236" s="18">
        <f t="shared" si="8"/>
        <v>1238000</v>
      </c>
      <c r="G236" s="35"/>
      <c r="H236" s="33">
        <v>976000</v>
      </c>
      <c r="I236" s="57"/>
      <c r="J236" s="33">
        <v>132000</v>
      </c>
      <c r="K236" s="57"/>
      <c r="L236" s="33">
        <v>130000</v>
      </c>
      <c r="M236" s="57"/>
      <c r="N236" s="33">
        <v>700000</v>
      </c>
      <c r="O236" s="57"/>
      <c r="P236" s="33">
        <v>547000</v>
      </c>
      <c r="Q236" s="57"/>
      <c r="R236" s="33">
        <v>9000</v>
      </c>
      <c r="S236" s="29">
        <f t="shared" si="6"/>
        <v>0</v>
      </c>
    </row>
    <row r="237" spans="3:19" x14ac:dyDescent="0.25">
      <c r="C237" s="30" t="s">
        <v>112</v>
      </c>
      <c r="D237" s="30"/>
      <c r="E237" s="34"/>
      <c r="F237" s="18">
        <f t="shared" si="8"/>
        <v>3180000</v>
      </c>
      <c r="G237" s="35"/>
      <c r="H237" s="33">
        <v>2776000</v>
      </c>
      <c r="I237" s="57"/>
      <c r="J237" s="33">
        <v>224000</v>
      </c>
      <c r="K237" s="57"/>
      <c r="L237" s="33">
        <v>180000</v>
      </c>
      <c r="M237" s="57"/>
      <c r="N237" s="33">
        <v>2074000</v>
      </c>
      <c r="O237" s="57"/>
      <c r="P237" s="33">
        <v>1106000</v>
      </c>
      <c r="Q237" s="57"/>
      <c r="R237" s="33">
        <v>0</v>
      </c>
      <c r="S237" s="29">
        <f t="shared" si="6"/>
        <v>0</v>
      </c>
    </row>
    <row r="238" spans="3:19" x14ac:dyDescent="0.25">
      <c r="C238" s="30" t="s">
        <v>113</v>
      </c>
      <c r="D238" s="30"/>
      <c r="E238" s="34"/>
      <c r="F238" s="18">
        <f t="shared" si="8"/>
        <v>16966000</v>
      </c>
      <c r="G238" s="35"/>
      <c r="H238" s="33">
        <v>14228000</v>
      </c>
      <c r="I238" s="57"/>
      <c r="J238" s="33">
        <v>2222000</v>
      </c>
      <c r="K238" s="57"/>
      <c r="L238" s="33">
        <v>516000</v>
      </c>
      <c r="M238" s="57"/>
      <c r="N238" s="33">
        <v>11684000</v>
      </c>
      <c r="O238" s="57"/>
      <c r="P238" s="33">
        <v>5282000</v>
      </c>
      <c r="Q238" s="57"/>
      <c r="R238" s="33">
        <v>0</v>
      </c>
      <c r="S238" s="29">
        <f t="shared" si="6"/>
        <v>0</v>
      </c>
    </row>
    <row r="239" spans="3:19" x14ac:dyDescent="0.25">
      <c r="C239" s="30" t="s">
        <v>114</v>
      </c>
      <c r="D239" s="30"/>
      <c r="E239" s="34"/>
      <c r="F239" s="18">
        <f t="shared" si="8"/>
        <v>34000</v>
      </c>
      <c r="G239" s="35"/>
      <c r="H239" s="33">
        <v>25000</v>
      </c>
      <c r="I239" s="57"/>
      <c r="J239" s="33">
        <v>0</v>
      </c>
      <c r="K239" s="57"/>
      <c r="L239" s="33">
        <v>9000</v>
      </c>
      <c r="M239" s="57"/>
      <c r="N239" s="33">
        <v>11000</v>
      </c>
      <c r="O239" s="57"/>
      <c r="P239" s="33">
        <f>22000+1000</f>
        <v>23000</v>
      </c>
      <c r="Q239" s="57"/>
      <c r="R239" s="33">
        <v>0</v>
      </c>
      <c r="S239" s="29">
        <f t="shared" si="6"/>
        <v>0</v>
      </c>
    </row>
    <row r="240" spans="3:19" x14ac:dyDescent="0.25">
      <c r="C240" s="30" t="s">
        <v>115</v>
      </c>
      <c r="D240" s="30"/>
      <c r="E240" s="34"/>
      <c r="F240" s="18">
        <f t="shared" si="8"/>
        <v>22835000</v>
      </c>
      <c r="G240" s="35"/>
      <c r="H240" s="33">
        <v>15176000</v>
      </c>
      <c r="I240" s="57"/>
      <c r="J240" s="33">
        <v>4607000</v>
      </c>
      <c r="K240" s="57"/>
      <c r="L240" s="33">
        <v>3052000</v>
      </c>
      <c r="M240" s="57"/>
      <c r="N240" s="33">
        <v>12634000</v>
      </c>
      <c r="O240" s="57"/>
      <c r="P240" s="33">
        <v>10201000</v>
      </c>
      <c r="Q240" s="57"/>
      <c r="R240" s="33">
        <v>0</v>
      </c>
      <c r="S240" s="29">
        <f t="shared" si="6"/>
        <v>0</v>
      </c>
    </row>
    <row r="241" spans="3:19" x14ac:dyDescent="0.25">
      <c r="C241" s="30" t="s">
        <v>116</v>
      </c>
      <c r="D241" s="30"/>
      <c r="E241" s="34"/>
      <c r="F241" s="18">
        <f t="shared" si="8"/>
        <v>5983000</v>
      </c>
      <c r="G241" s="35"/>
      <c r="H241" s="33">
        <v>4678000</v>
      </c>
      <c r="I241" s="57"/>
      <c r="J241" s="33">
        <v>413000</v>
      </c>
      <c r="K241" s="57"/>
      <c r="L241" s="33">
        <v>892000</v>
      </c>
      <c r="M241" s="57"/>
      <c r="N241" s="33">
        <v>3907000</v>
      </c>
      <c r="O241" s="57"/>
      <c r="P241" s="33">
        <f>2077000-1000</f>
        <v>2076000</v>
      </c>
      <c r="Q241" s="57"/>
      <c r="R241" s="33">
        <v>0</v>
      </c>
      <c r="S241" s="29">
        <f t="shared" si="6"/>
        <v>0</v>
      </c>
    </row>
    <row r="242" spans="3:19" x14ac:dyDescent="0.25">
      <c r="C242" s="30" t="s">
        <v>117</v>
      </c>
      <c r="D242" s="30"/>
      <c r="E242" s="34"/>
      <c r="F242" s="18">
        <f t="shared" si="8"/>
        <v>3101000</v>
      </c>
      <c r="G242" s="35"/>
      <c r="H242" s="33">
        <v>2709000</v>
      </c>
      <c r="I242" s="57"/>
      <c r="J242" s="33">
        <v>126000</v>
      </c>
      <c r="K242" s="57"/>
      <c r="L242" s="33">
        <v>266000</v>
      </c>
      <c r="M242" s="57"/>
      <c r="N242" s="33">
        <v>2078000</v>
      </c>
      <c r="O242" s="57"/>
      <c r="P242" s="33">
        <v>1023000</v>
      </c>
      <c r="Q242" s="57"/>
      <c r="R242" s="33">
        <v>0</v>
      </c>
      <c r="S242" s="29">
        <f t="shared" si="6"/>
        <v>0</v>
      </c>
    </row>
    <row r="243" spans="3:19" x14ac:dyDescent="0.25">
      <c r="C243" s="30" t="s">
        <v>118</v>
      </c>
      <c r="D243" s="30"/>
      <c r="E243" s="34"/>
      <c r="F243" s="18">
        <f t="shared" si="8"/>
        <v>5563000</v>
      </c>
      <c r="G243" s="35"/>
      <c r="H243" s="33">
        <v>4742000</v>
      </c>
      <c r="I243" s="57"/>
      <c r="J243" s="33">
        <v>261000</v>
      </c>
      <c r="K243" s="57"/>
      <c r="L243" s="33">
        <v>560000</v>
      </c>
      <c r="M243" s="57"/>
      <c r="N243" s="33">
        <v>3882000</v>
      </c>
      <c r="O243" s="57"/>
      <c r="P243" s="33">
        <v>1681000</v>
      </c>
      <c r="Q243" s="57"/>
      <c r="R243" s="33">
        <v>0</v>
      </c>
      <c r="S243" s="29">
        <f t="shared" si="6"/>
        <v>0</v>
      </c>
    </row>
    <row r="244" spans="3:19" ht="12" customHeight="1" x14ac:dyDescent="0.25">
      <c r="C244" s="30" t="s">
        <v>119</v>
      </c>
      <c r="D244" s="30"/>
      <c r="E244" s="34"/>
      <c r="F244" s="18">
        <f t="shared" si="8"/>
        <v>1375000</v>
      </c>
      <c r="G244" s="35"/>
      <c r="H244" s="33">
        <v>1164000</v>
      </c>
      <c r="I244" s="57"/>
      <c r="J244" s="33">
        <v>138000</v>
      </c>
      <c r="K244" s="57"/>
      <c r="L244" s="33">
        <v>73000</v>
      </c>
      <c r="M244" s="57"/>
      <c r="N244" s="33">
        <v>973000</v>
      </c>
      <c r="O244" s="57"/>
      <c r="P244" s="33">
        <v>402000</v>
      </c>
      <c r="Q244" s="57"/>
      <c r="R244" s="33">
        <v>0</v>
      </c>
      <c r="S244" s="29">
        <f t="shared" si="6"/>
        <v>0</v>
      </c>
    </row>
    <row r="245" spans="3:19" x14ac:dyDescent="0.25">
      <c r="C245" s="30" t="s">
        <v>120</v>
      </c>
      <c r="D245" s="30"/>
      <c r="E245" s="34"/>
      <c r="F245" s="18">
        <f t="shared" si="8"/>
        <v>1071000</v>
      </c>
      <c r="G245" s="35"/>
      <c r="H245" s="33">
        <v>430000</v>
      </c>
      <c r="I245" s="57"/>
      <c r="J245" s="33">
        <v>20000</v>
      </c>
      <c r="K245" s="57"/>
      <c r="L245" s="33">
        <v>621000</v>
      </c>
      <c r="M245" s="57"/>
      <c r="N245" s="33">
        <v>632000</v>
      </c>
      <c r="O245" s="57"/>
      <c r="P245" s="33">
        <v>439000</v>
      </c>
      <c r="Q245" s="57"/>
      <c r="R245" s="33">
        <v>0</v>
      </c>
      <c r="S245" s="29">
        <f t="shared" si="6"/>
        <v>0</v>
      </c>
    </row>
    <row r="246" spans="3:19" x14ac:dyDescent="0.25">
      <c r="C246" s="30" t="s">
        <v>121</v>
      </c>
      <c r="D246" s="30"/>
      <c r="E246" s="34"/>
      <c r="F246" s="18">
        <f t="shared" si="8"/>
        <v>16263000</v>
      </c>
      <c r="G246" s="35"/>
      <c r="H246" s="33">
        <v>13575000</v>
      </c>
      <c r="I246" s="57"/>
      <c r="J246" s="33">
        <f>1486000-1000</f>
        <v>1485000</v>
      </c>
      <c r="K246" s="57"/>
      <c r="L246" s="33">
        <v>1203000</v>
      </c>
      <c r="M246" s="57"/>
      <c r="N246" s="33">
        <v>10197000</v>
      </c>
      <c r="O246" s="57"/>
      <c r="P246" s="33">
        <v>6406000</v>
      </c>
      <c r="Q246" s="57"/>
      <c r="R246" s="33">
        <v>340000</v>
      </c>
      <c r="S246" s="29">
        <f t="shared" si="6"/>
        <v>0</v>
      </c>
    </row>
    <row r="247" spans="3:19" x14ac:dyDescent="0.25">
      <c r="C247" s="30" t="s">
        <v>122</v>
      </c>
      <c r="D247" s="30"/>
      <c r="E247" s="34"/>
      <c r="F247" s="18">
        <f t="shared" si="8"/>
        <v>11327000</v>
      </c>
      <c r="G247" s="35"/>
      <c r="H247" s="33">
        <v>9517000</v>
      </c>
      <c r="I247" s="57"/>
      <c r="J247" s="33">
        <v>695000</v>
      </c>
      <c r="K247" s="57"/>
      <c r="L247" s="33">
        <v>1115000</v>
      </c>
      <c r="M247" s="57"/>
      <c r="N247" s="33">
        <v>7754000</v>
      </c>
      <c r="O247" s="57"/>
      <c r="P247" s="33">
        <v>3573000</v>
      </c>
      <c r="Q247" s="57"/>
      <c r="R247" s="33">
        <v>0</v>
      </c>
      <c r="S247" s="29">
        <f t="shared" si="6"/>
        <v>0</v>
      </c>
    </row>
    <row r="248" spans="3:19" x14ac:dyDescent="0.25">
      <c r="C248" s="30" t="s">
        <v>123</v>
      </c>
      <c r="D248" s="30"/>
      <c r="E248" s="34"/>
      <c r="F248" s="18">
        <f t="shared" si="8"/>
        <v>9800000</v>
      </c>
      <c r="G248" s="35"/>
      <c r="H248" s="33">
        <v>8978000</v>
      </c>
      <c r="I248" s="57"/>
      <c r="J248" s="33">
        <v>700000</v>
      </c>
      <c r="K248" s="57"/>
      <c r="L248" s="33">
        <v>122000</v>
      </c>
      <c r="M248" s="57"/>
      <c r="N248" s="33">
        <v>6628000</v>
      </c>
      <c r="O248" s="57"/>
      <c r="P248" s="33">
        <v>3172000</v>
      </c>
      <c r="Q248" s="57"/>
      <c r="R248" s="33">
        <v>0</v>
      </c>
      <c r="S248" s="29">
        <f t="shared" si="6"/>
        <v>0</v>
      </c>
    </row>
    <row r="249" spans="3:19" x14ac:dyDescent="0.25">
      <c r="C249" s="30" t="s">
        <v>124</v>
      </c>
      <c r="D249" s="30"/>
      <c r="E249" s="34"/>
      <c r="F249" s="18">
        <f t="shared" si="8"/>
        <v>2763000</v>
      </c>
      <c r="G249" s="35"/>
      <c r="H249" s="33">
        <v>2334000</v>
      </c>
      <c r="I249" s="57"/>
      <c r="J249" s="33">
        <v>283000</v>
      </c>
      <c r="K249" s="57"/>
      <c r="L249" s="33">
        <v>146000</v>
      </c>
      <c r="M249" s="57"/>
      <c r="N249" s="33">
        <v>1809000</v>
      </c>
      <c r="O249" s="57"/>
      <c r="P249" s="33">
        <v>954000</v>
      </c>
      <c r="Q249" s="57"/>
      <c r="R249" s="33">
        <v>0</v>
      </c>
      <c r="S249" s="29">
        <f t="shared" si="6"/>
        <v>0</v>
      </c>
    </row>
    <row r="250" spans="3:19" x14ac:dyDescent="0.25">
      <c r="C250" s="30" t="s">
        <v>125</v>
      </c>
      <c r="D250" s="30"/>
      <c r="E250" s="34"/>
      <c r="G250" s="7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29">
        <f t="shared" si="6"/>
        <v>0</v>
      </c>
    </row>
    <row r="251" spans="3:19" x14ac:dyDescent="0.25">
      <c r="C251" s="29"/>
      <c r="D251" s="30"/>
      <c r="E251" s="34" t="s">
        <v>90</v>
      </c>
      <c r="F251" s="18">
        <f t="shared" ref="F251:F260" si="9">SUM(H251:L251)</f>
        <v>407000</v>
      </c>
      <c r="G251" s="35"/>
      <c r="H251" s="33">
        <f>406000+1000</f>
        <v>407000</v>
      </c>
      <c r="I251" s="57"/>
      <c r="J251" s="33">
        <v>0</v>
      </c>
      <c r="K251" s="57"/>
      <c r="L251" s="33">
        <v>0</v>
      </c>
      <c r="M251" s="57"/>
      <c r="N251" s="33">
        <v>291000</v>
      </c>
      <c r="O251" s="57"/>
      <c r="P251" s="33">
        <v>116000</v>
      </c>
      <c r="Q251" s="57"/>
      <c r="R251" s="33">
        <v>0</v>
      </c>
      <c r="S251" s="29">
        <f t="shared" si="6"/>
        <v>0</v>
      </c>
    </row>
    <row r="252" spans="3:19" x14ac:dyDescent="0.25">
      <c r="C252" s="30" t="s">
        <v>126</v>
      </c>
      <c r="D252" s="30"/>
      <c r="E252" s="34"/>
      <c r="F252" s="18">
        <f t="shared" si="9"/>
        <v>321000</v>
      </c>
      <c r="G252" s="35"/>
      <c r="H252" s="33">
        <v>228000</v>
      </c>
      <c r="I252" s="57"/>
      <c r="J252" s="33">
        <v>0</v>
      </c>
      <c r="K252" s="57"/>
      <c r="L252" s="33">
        <v>93000</v>
      </c>
      <c r="M252" s="57"/>
      <c r="N252" s="33">
        <v>126000</v>
      </c>
      <c r="O252" s="57"/>
      <c r="P252" s="33">
        <v>195000</v>
      </c>
      <c r="Q252" s="57"/>
      <c r="R252" s="33">
        <v>0</v>
      </c>
      <c r="S252" s="29">
        <f t="shared" si="6"/>
        <v>0</v>
      </c>
    </row>
    <row r="253" spans="3:19" x14ac:dyDescent="0.25">
      <c r="C253" s="30" t="s">
        <v>127</v>
      </c>
      <c r="D253" s="30"/>
      <c r="E253" s="34"/>
      <c r="F253" s="18">
        <f t="shared" si="9"/>
        <v>1492000</v>
      </c>
      <c r="G253" s="35"/>
      <c r="H253" s="33">
        <v>1272000</v>
      </c>
      <c r="I253" s="57"/>
      <c r="J253" s="33">
        <v>127000</v>
      </c>
      <c r="K253" s="57"/>
      <c r="L253" s="33">
        <v>93000</v>
      </c>
      <c r="M253" s="57"/>
      <c r="N253" s="33">
        <v>985000</v>
      </c>
      <c r="O253" s="57"/>
      <c r="P253" s="33">
        <v>507000</v>
      </c>
      <c r="Q253" s="57"/>
      <c r="R253" s="33">
        <v>0</v>
      </c>
      <c r="S253" s="29">
        <f t="shared" si="6"/>
        <v>0</v>
      </c>
    </row>
    <row r="254" spans="3:19" x14ac:dyDescent="0.25">
      <c r="C254" s="30" t="s">
        <v>128</v>
      </c>
      <c r="D254" s="30"/>
      <c r="E254" s="34"/>
      <c r="F254" s="18">
        <f t="shared" si="9"/>
        <v>1995000</v>
      </c>
      <c r="G254" s="35"/>
      <c r="H254" s="33">
        <v>1767000</v>
      </c>
      <c r="I254" s="57"/>
      <c r="J254" s="33">
        <v>34000</v>
      </c>
      <c r="K254" s="57"/>
      <c r="L254" s="33">
        <f>195000-1000</f>
        <v>194000</v>
      </c>
      <c r="M254" s="57"/>
      <c r="N254" s="33">
        <v>1404000</v>
      </c>
      <c r="O254" s="57"/>
      <c r="P254" s="33">
        <v>591000</v>
      </c>
      <c r="Q254" s="57"/>
      <c r="R254" s="33">
        <v>0</v>
      </c>
      <c r="S254" s="29">
        <f t="shared" si="6"/>
        <v>0</v>
      </c>
    </row>
    <row r="255" spans="3:19" x14ac:dyDescent="0.25">
      <c r="C255" s="30" t="s">
        <v>129</v>
      </c>
      <c r="D255" s="30"/>
      <c r="E255" s="34"/>
      <c r="F255" s="18">
        <f t="shared" si="9"/>
        <v>582000</v>
      </c>
      <c r="G255" s="35"/>
      <c r="H255" s="33">
        <v>522000</v>
      </c>
      <c r="I255" s="57"/>
      <c r="J255" s="33">
        <v>6000</v>
      </c>
      <c r="K255" s="57"/>
      <c r="L255" s="33">
        <f>55000-1000</f>
        <v>54000</v>
      </c>
      <c r="M255" s="57"/>
      <c r="N255" s="33">
        <v>109000</v>
      </c>
      <c r="O255" s="57"/>
      <c r="P255" s="33">
        <v>473000</v>
      </c>
      <c r="Q255" s="57"/>
      <c r="R255" s="33">
        <v>0</v>
      </c>
      <c r="S255" s="29">
        <f t="shared" si="6"/>
        <v>0</v>
      </c>
    </row>
    <row r="256" spans="3:19" x14ac:dyDescent="0.25">
      <c r="C256" s="30" t="s">
        <v>130</v>
      </c>
      <c r="D256" s="30"/>
      <c r="E256" s="34"/>
      <c r="F256" s="18">
        <f t="shared" si="9"/>
        <v>10179000</v>
      </c>
      <c r="G256" s="35"/>
      <c r="H256" s="33">
        <v>8094000</v>
      </c>
      <c r="I256" s="57"/>
      <c r="J256" s="33">
        <v>1940000</v>
      </c>
      <c r="K256" s="57"/>
      <c r="L256" s="33">
        <f>146000-1000</f>
        <v>145000</v>
      </c>
      <c r="M256" s="57"/>
      <c r="N256" s="33">
        <v>6628000</v>
      </c>
      <c r="O256" s="57"/>
      <c r="P256" s="33">
        <f>3552000-1000</f>
        <v>3551000</v>
      </c>
      <c r="Q256" s="57"/>
      <c r="R256" s="33">
        <v>0</v>
      </c>
      <c r="S256" s="29">
        <f t="shared" si="6"/>
        <v>0</v>
      </c>
    </row>
    <row r="257" spans="2:19" x14ac:dyDescent="0.25">
      <c r="C257" s="30" t="s">
        <v>131</v>
      </c>
      <c r="D257" s="30"/>
      <c r="E257" s="34"/>
      <c r="F257" s="18">
        <f t="shared" si="9"/>
        <v>2657000</v>
      </c>
      <c r="G257" s="35"/>
      <c r="H257" s="33">
        <v>1996000</v>
      </c>
      <c r="I257" s="57"/>
      <c r="J257" s="33">
        <f>258000+1000</f>
        <v>259000</v>
      </c>
      <c r="K257" s="57"/>
      <c r="L257" s="33">
        <v>402000</v>
      </c>
      <c r="M257" s="57"/>
      <c r="N257" s="33">
        <v>1844000</v>
      </c>
      <c r="O257" s="57"/>
      <c r="P257" s="33">
        <v>813000</v>
      </c>
      <c r="Q257" s="57"/>
      <c r="R257" s="33">
        <v>0</v>
      </c>
      <c r="S257" s="29">
        <f t="shared" si="6"/>
        <v>0</v>
      </c>
    </row>
    <row r="258" spans="2:19" x14ac:dyDescent="0.25">
      <c r="C258" s="30" t="s">
        <v>132</v>
      </c>
      <c r="D258" s="30"/>
      <c r="E258" s="34"/>
      <c r="F258" s="18">
        <f t="shared" si="9"/>
        <v>3578000</v>
      </c>
      <c r="G258" s="35"/>
      <c r="H258" s="33">
        <f>3073000-1000</f>
        <v>3072000</v>
      </c>
      <c r="I258" s="57"/>
      <c r="J258" s="33">
        <v>401000</v>
      </c>
      <c r="K258" s="57"/>
      <c r="L258" s="33">
        <v>105000</v>
      </c>
      <c r="M258" s="57"/>
      <c r="N258" s="33">
        <v>2425000</v>
      </c>
      <c r="O258" s="57"/>
      <c r="P258" s="33">
        <v>1153000</v>
      </c>
      <c r="Q258" s="57"/>
      <c r="R258" s="33">
        <v>0</v>
      </c>
      <c r="S258" s="29">
        <f t="shared" si="6"/>
        <v>0</v>
      </c>
    </row>
    <row r="259" spans="2:19" x14ac:dyDescent="0.25">
      <c r="C259" s="30" t="s">
        <v>133</v>
      </c>
      <c r="D259" s="30"/>
      <c r="E259" s="34"/>
      <c r="F259" s="18">
        <f t="shared" si="9"/>
        <v>6527000</v>
      </c>
      <c r="G259" s="35"/>
      <c r="H259" s="33">
        <f>5773000-1000</f>
        <v>5772000</v>
      </c>
      <c r="I259" s="57"/>
      <c r="J259" s="33">
        <v>555000</v>
      </c>
      <c r="K259" s="57"/>
      <c r="L259" s="33">
        <f>199000+1000</f>
        <v>200000</v>
      </c>
      <c r="M259" s="57"/>
      <c r="N259" s="33">
        <v>4360000</v>
      </c>
      <c r="O259" s="57"/>
      <c r="P259" s="33">
        <v>2185000</v>
      </c>
      <c r="Q259" s="57"/>
      <c r="R259" s="33">
        <v>18000</v>
      </c>
      <c r="S259" s="29">
        <f t="shared" si="6"/>
        <v>0</v>
      </c>
    </row>
    <row r="260" spans="2:19" x14ac:dyDescent="0.25">
      <c r="C260" s="30" t="s">
        <v>134</v>
      </c>
      <c r="D260" s="30"/>
      <c r="E260" s="34"/>
      <c r="F260" s="18">
        <f t="shared" si="9"/>
        <v>2667000</v>
      </c>
      <c r="G260" s="35"/>
      <c r="H260" s="33">
        <v>2572000</v>
      </c>
      <c r="I260" s="57"/>
      <c r="J260" s="33">
        <v>86000</v>
      </c>
      <c r="K260" s="57"/>
      <c r="L260" s="33">
        <v>9000</v>
      </c>
      <c r="M260" s="57"/>
      <c r="N260" s="33">
        <f>1813000-1000</f>
        <v>1812000</v>
      </c>
      <c r="O260" s="57"/>
      <c r="P260" s="33">
        <v>855000</v>
      </c>
      <c r="Q260" s="57"/>
      <c r="R260" s="33">
        <v>0</v>
      </c>
      <c r="S260" s="29">
        <f t="shared" si="6"/>
        <v>0</v>
      </c>
    </row>
    <row r="261" spans="2:19" x14ac:dyDescent="0.25">
      <c r="C261" s="30" t="s">
        <v>135</v>
      </c>
      <c r="D261" s="30"/>
      <c r="E261" s="34"/>
      <c r="G261" s="35"/>
      <c r="H261" s="33"/>
      <c r="I261" s="57"/>
      <c r="J261" s="33"/>
      <c r="K261" s="57"/>
      <c r="L261" s="33"/>
      <c r="M261" s="57"/>
      <c r="N261" s="33"/>
      <c r="O261" s="57"/>
      <c r="P261" s="33"/>
      <c r="Q261" s="57"/>
      <c r="R261" s="33"/>
      <c r="S261" s="29">
        <f t="shared" si="6"/>
        <v>0</v>
      </c>
    </row>
    <row r="262" spans="2:19" x14ac:dyDescent="0.25">
      <c r="E262" s="30" t="s">
        <v>136</v>
      </c>
      <c r="F262" s="18">
        <f>SUM(H262:L262)</f>
        <v>6233000</v>
      </c>
      <c r="G262" s="35"/>
      <c r="H262" s="33">
        <f>4697000</f>
        <v>4697000</v>
      </c>
      <c r="I262" s="57"/>
      <c r="J262" s="33">
        <f>459000-1000</f>
        <v>458000</v>
      </c>
      <c r="K262" s="57"/>
      <c r="L262" s="33">
        <f>1077000+1000</f>
        <v>1078000</v>
      </c>
      <c r="M262" s="57"/>
      <c r="N262" s="33">
        <v>3661000</v>
      </c>
      <c r="O262" s="57"/>
      <c r="P262" s="33">
        <v>2572000</v>
      </c>
      <c r="Q262" s="57"/>
      <c r="R262" s="33">
        <v>0</v>
      </c>
      <c r="S262" s="29">
        <f t="shared" ref="S262:S323" si="10">+F262-N262-P262+R262</f>
        <v>0</v>
      </c>
    </row>
    <row r="263" spans="2:19" x14ac:dyDescent="0.25">
      <c r="C263" s="30" t="s">
        <v>137</v>
      </c>
      <c r="D263" s="30"/>
      <c r="E263" s="34"/>
      <c r="F263" s="18">
        <f>SUM(H263:L263)</f>
        <v>5000</v>
      </c>
      <c r="G263" s="35"/>
      <c r="H263" s="33">
        <v>0</v>
      </c>
      <c r="I263" s="57"/>
      <c r="J263" s="33">
        <v>0</v>
      </c>
      <c r="K263" s="57"/>
      <c r="L263" s="33">
        <v>5000</v>
      </c>
      <c r="M263" s="57"/>
      <c r="N263" s="33">
        <v>4000</v>
      </c>
      <c r="O263" s="57"/>
      <c r="P263" s="33">
        <v>1000</v>
      </c>
      <c r="Q263" s="57"/>
      <c r="R263" s="33">
        <v>0</v>
      </c>
      <c r="S263" s="29">
        <f t="shared" si="10"/>
        <v>0</v>
      </c>
    </row>
    <row r="264" spans="2:19" x14ac:dyDescent="0.25">
      <c r="C264" s="30" t="s">
        <v>138</v>
      </c>
      <c r="D264" s="30"/>
      <c r="E264" s="34"/>
      <c r="F264" s="58">
        <f>SUM(H264:L264)</f>
        <v>1696000</v>
      </c>
      <c r="G264" s="7"/>
      <c r="H264" s="36">
        <v>1586000</v>
      </c>
      <c r="I264" s="33"/>
      <c r="J264" s="36">
        <v>45000</v>
      </c>
      <c r="K264" s="33"/>
      <c r="L264" s="36">
        <v>65000</v>
      </c>
      <c r="M264" s="33"/>
      <c r="N264" s="36">
        <v>1107000</v>
      </c>
      <c r="O264" s="33"/>
      <c r="P264" s="36">
        <v>589000</v>
      </c>
      <c r="Q264" s="33"/>
      <c r="R264" s="36">
        <v>0</v>
      </c>
      <c r="S264" s="29">
        <f t="shared" si="10"/>
        <v>0</v>
      </c>
    </row>
    <row r="265" spans="2:19" x14ac:dyDescent="0.25">
      <c r="E265" s="30" t="s">
        <v>21</v>
      </c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29">
        <f t="shared" si="10"/>
        <v>0</v>
      </c>
    </row>
    <row r="266" spans="2:19" x14ac:dyDescent="0.25">
      <c r="E266" s="30" t="s">
        <v>2</v>
      </c>
      <c r="F266" s="58">
        <f>SUM(H266:L266)</f>
        <v>273801000</v>
      </c>
      <c r="G266" s="7"/>
      <c r="H266" s="58">
        <f>SUM(H194:H265)</f>
        <v>226964000</v>
      </c>
      <c r="I266" s="18"/>
      <c r="J266" s="58">
        <f>SUM(J194:J265)</f>
        <v>25482000</v>
      </c>
      <c r="K266" s="18"/>
      <c r="L266" s="58">
        <f>SUM(L194:L265)</f>
        <v>21355000</v>
      </c>
      <c r="M266" s="18"/>
      <c r="N266" s="58">
        <f>SUM(N194:N265)</f>
        <v>178937000</v>
      </c>
      <c r="O266" s="18"/>
      <c r="P266" s="58">
        <f>SUM(P194:P265)</f>
        <v>95293000</v>
      </c>
      <c r="Q266" s="18"/>
      <c r="R266" s="58">
        <f>SUM(R194:R265)</f>
        <v>429000</v>
      </c>
      <c r="S266" s="29">
        <f t="shared" si="10"/>
        <v>0</v>
      </c>
    </row>
    <row r="267" spans="2:19" x14ac:dyDescent="0.25"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29">
        <f t="shared" si="10"/>
        <v>0</v>
      </c>
    </row>
    <row r="268" spans="2:19" x14ac:dyDescent="0.25">
      <c r="B268" s="38" t="s">
        <v>23</v>
      </c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29">
        <f t="shared" si="10"/>
        <v>0</v>
      </c>
    </row>
    <row r="269" spans="2:19" x14ac:dyDescent="0.25">
      <c r="C269" s="30" t="s">
        <v>73</v>
      </c>
      <c r="D269" s="30"/>
      <c r="E269" s="34"/>
      <c r="F269" s="18">
        <f t="shared" ref="F269:F312" si="11">SUM(H269:L269)</f>
        <v>6000</v>
      </c>
      <c r="G269" s="35"/>
      <c r="H269" s="33">
        <f>5000+1000</f>
        <v>6000</v>
      </c>
      <c r="I269" s="57"/>
      <c r="J269" s="33">
        <v>0</v>
      </c>
      <c r="K269" s="57"/>
      <c r="L269" s="33">
        <v>0</v>
      </c>
      <c r="M269" s="57"/>
      <c r="N269" s="33">
        <v>0</v>
      </c>
      <c r="O269" s="57"/>
      <c r="P269" s="33">
        <v>6000</v>
      </c>
      <c r="Q269" s="57"/>
      <c r="R269" s="33">
        <v>0</v>
      </c>
      <c r="S269" s="29">
        <f t="shared" si="10"/>
        <v>0</v>
      </c>
    </row>
    <row r="270" spans="2:19" x14ac:dyDescent="0.25">
      <c r="C270" s="30" t="s">
        <v>76</v>
      </c>
      <c r="D270" s="30"/>
      <c r="E270" s="34"/>
      <c r="F270" s="18">
        <f t="shared" si="11"/>
        <v>237000</v>
      </c>
      <c r="G270" s="35"/>
      <c r="H270" s="33">
        <f>13000+1000</f>
        <v>14000</v>
      </c>
      <c r="I270" s="57"/>
      <c r="J270" s="33">
        <v>65000</v>
      </c>
      <c r="K270" s="57"/>
      <c r="L270" s="33">
        <v>158000</v>
      </c>
      <c r="M270" s="57"/>
      <c r="N270" s="33">
        <v>97000</v>
      </c>
      <c r="O270" s="57"/>
      <c r="P270" s="33">
        <v>140000</v>
      </c>
      <c r="Q270" s="57"/>
      <c r="R270" s="33">
        <v>0</v>
      </c>
      <c r="S270" s="29">
        <f t="shared" si="10"/>
        <v>0</v>
      </c>
    </row>
    <row r="271" spans="2:19" x14ac:dyDescent="0.25">
      <c r="C271" s="30" t="s">
        <v>78</v>
      </c>
      <c r="D271" s="30"/>
      <c r="E271" s="34"/>
      <c r="F271" s="18">
        <f t="shared" si="11"/>
        <v>43000</v>
      </c>
      <c r="G271" s="35"/>
      <c r="H271" s="33">
        <v>9000</v>
      </c>
      <c r="I271" s="57"/>
      <c r="J271" s="33">
        <v>24000</v>
      </c>
      <c r="K271" s="57"/>
      <c r="L271" s="33">
        <f>9000+1000</f>
        <v>10000</v>
      </c>
      <c r="M271" s="57"/>
      <c r="N271" s="33">
        <v>18000</v>
      </c>
      <c r="O271" s="57"/>
      <c r="P271" s="33">
        <v>25000</v>
      </c>
      <c r="Q271" s="57"/>
      <c r="R271" s="33">
        <v>0</v>
      </c>
      <c r="S271" s="29">
        <f t="shared" si="10"/>
        <v>0</v>
      </c>
    </row>
    <row r="272" spans="2:19" x14ac:dyDescent="0.25">
      <c r="C272" s="30" t="s">
        <v>79</v>
      </c>
      <c r="D272" s="30"/>
      <c r="E272" s="34"/>
      <c r="F272" s="18">
        <f t="shared" si="11"/>
        <v>28000</v>
      </c>
      <c r="G272" s="35"/>
      <c r="H272" s="33">
        <f>21000-1000</f>
        <v>20000</v>
      </c>
      <c r="I272" s="57"/>
      <c r="J272" s="33">
        <v>3000</v>
      </c>
      <c r="K272" s="57"/>
      <c r="L272" s="33">
        <v>5000</v>
      </c>
      <c r="M272" s="57"/>
      <c r="N272" s="33">
        <v>0</v>
      </c>
      <c r="O272" s="57"/>
      <c r="P272" s="33">
        <v>28000</v>
      </c>
      <c r="Q272" s="57"/>
      <c r="R272" s="33">
        <v>0</v>
      </c>
      <c r="S272" s="29">
        <f t="shared" si="10"/>
        <v>0</v>
      </c>
    </row>
    <row r="273" spans="3:19" x14ac:dyDescent="0.25">
      <c r="C273" s="30" t="s">
        <v>77</v>
      </c>
      <c r="D273" s="30"/>
      <c r="E273" s="34"/>
      <c r="F273" s="18">
        <f t="shared" si="11"/>
        <v>907000</v>
      </c>
      <c r="G273" s="35"/>
      <c r="H273" s="33">
        <v>0</v>
      </c>
      <c r="I273" s="57"/>
      <c r="J273" s="33">
        <v>0</v>
      </c>
      <c r="K273" s="57"/>
      <c r="L273" s="33">
        <v>907000</v>
      </c>
      <c r="M273" s="57"/>
      <c r="N273" s="33">
        <v>675000</v>
      </c>
      <c r="O273" s="57"/>
      <c r="P273" s="33">
        <v>232000</v>
      </c>
      <c r="Q273" s="57"/>
      <c r="R273" s="33">
        <v>0</v>
      </c>
      <c r="S273" s="29">
        <f t="shared" si="10"/>
        <v>0</v>
      </c>
    </row>
    <row r="274" spans="3:19" x14ac:dyDescent="0.25">
      <c r="C274" s="30" t="s">
        <v>80</v>
      </c>
      <c r="D274" s="30"/>
      <c r="E274" s="34"/>
      <c r="F274" s="18">
        <f t="shared" si="11"/>
        <v>3060000</v>
      </c>
      <c r="G274" s="35"/>
      <c r="H274" s="33">
        <v>62000</v>
      </c>
      <c r="I274" s="57"/>
      <c r="J274" s="33">
        <v>64000</v>
      </c>
      <c r="K274" s="57"/>
      <c r="L274" s="33">
        <v>2934000</v>
      </c>
      <c r="M274" s="57"/>
      <c r="N274" s="33">
        <v>2037000</v>
      </c>
      <c r="O274" s="57"/>
      <c r="P274" s="33">
        <v>1023000</v>
      </c>
      <c r="Q274" s="57"/>
      <c r="R274" s="33">
        <v>0</v>
      </c>
      <c r="S274" s="29">
        <f t="shared" si="10"/>
        <v>0</v>
      </c>
    </row>
    <row r="275" spans="3:19" x14ac:dyDescent="0.25">
      <c r="C275" s="30" t="s">
        <v>81</v>
      </c>
      <c r="D275" s="30"/>
      <c r="E275" s="34"/>
      <c r="F275" s="18">
        <f t="shared" si="11"/>
        <v>402000</v>
      </c>
      <c r="G275" s="35"/>
      <c r="H275" s="33">
        <v>0</v>
      </c>
      <c r="I275" s="57"/>
      <c r="J275" s="33">
        <v>0</v>
      </c>
      <c r="K275" s="57"/>
      <c r="L275" s="33">
        <v>402000</v>
      </c>
      <c r="M275" s="57"/>
      <c r="N275" s="33">
        <v>152000</v>
      </c>
      <c r="O275" s="57"/>
      <c r="P275" s="33">
        <v>250000</v>
      </c>
      <c r="Q275" s="57"/>
      <c r="R275" s="33">
        <v>0</v>
      </c>
      <c r="S275" s="29">
        <f t="shared" si="10"/>
        <v>0</v>
      </c>
    </row>
    <row r="276" spans="3:19" x14ac:dyDescent="0.25">
      <c r="C276" s="30" t="s">
        <v>85</v>
      </c>
      <c r="D276" s="30"/>
      <c r="E276" s="34"/>
      <c r="F276" s="18">
        <f t="shared" si="11"/>
        <v>1914000</v>
      </c>
      <c r="G276" s="35"/>
      <c r="H276" s="33">
        <v>54000</v>
      </c>
      <c r="I276" s="57"/>
      <c r="J276" s="33">
        <v>186000</v>
      </c>
      <c r="K276" s="57"/>
      <c r="L276" s="33">
        <v>1674000</v>
      </c>
      <c r="M276" s="57"/>
      <c r="N276" s="33">
        <v>649000</v>
      </c>
      <c r="O276" s="57"/>
      <c r="P276" s="33">
        <v>1265000</v>
      </c>
      <c r="Q276" s="57"/>
      <c r="R276" s="33">
        <v>0</v>
      </c>
      <c r="S276" s="29">
        <f t="shared" si="10"/>
        <v>0</v>
      </c>
    </row>
    <row r="277" spans="3:19" x14ac:dyDescent="0.25">
      <c r="C277" s="30" t="s">
        <v>86</v>
      </c>
      <c r="D277" s="30"/>
      <c r="E277" s="34"/>
      <c r="F277" s="18">
        <f t="shared" si="11"/>
        <v>4000</v>
      </c>
      <c r="G277" s="35"/>
      <c r="H277" s="33">
        <v>4000</v>
      </c>
      <c r="I277" s="57"/>
      <c r="J277" s="33">
        <v>0</v>
      </c>
      <c r="K277" s="57"/>
      <c r="L277" s="33">
        <v>0</v>
      </c>
      <c r="M277" s="57"/>
      <c r="N277" s="33">
        <v>4000</v>
      </c>
      <c r="O277" s="57"/>
      <c r="P277" s="33">
        <v>0</v>
      </c>
      <c r="Q277" s="57"/>
      <c r="R277" s="33">
        <v>0</v>
      </c>
      <c r="S277" s="29">
        <f t="shared" si="10"/>
        <v>0</v>
      </c>
    </row>
    <row r="278" spans="3:19" x14ac:dyDescent="0.25">
      <c r="C278" s="30" t="s">
        <v>88</v>
      </c>
      <c r="D278" s="30"/>
      <c r="E278" s="34"/>
      <c r="F278" s="18">
        <f t="shared" si="11"/>
        <v>9000</v>
      </c>
      <c r="G278" s="35"/>
      <c r="H278" s="33">
        <v>2000</v>
      </c>
      <c r="I278" s="57"/>
      <c r="J278" s="33">
        <v>6000</v>
      </c>
      <c r="K278" s="57"/>
      <c r="L278" s="33">
        <v>1000</v>
      </c>
      <c r="M278" s="57"/>
      <c r="N278" s="33">
        <v>0</v>
      </c>
      <c r="O278" s="57"/>
      <c r="P278" s="33">
        <v>9000</v>
      </c>
      <c r="Q278" s="57"/>
      <c r="R278" s="33">
        <v>0</v>
      </c>
      <c r="S278" s="29">
        <f t="shared" si="10"/>
        <v>0</v>
      </c>
    </row>
    <row r="279" spans="3:19" x14ac:dyDescent="0.25">
      <c r="C279" s="30" t="s">
        <v>36</v>
      </c>
      <c r="D279" s="30"/>
      <c r="E279" s="34"/>
      <c r="F279" s="18">
        <f t="shared" si="11"/>
        <v>61000</v>
      </c>
      <c r="G279" s="35"/>
      <c r="H279" s="33">
        <f>27000-1000</f>
        <v>26000</v>
      </c>
      <c r="I279" s="57"/>
      <c r="J279" s="33">
        <v>35000</v>
      </c>
      <c r="K279" s="57"/>
      <c r="L279" s="33">
        <v>0</v>
      </c>
      <c r="M279" s="57"/>
      <c r="N279" s="33">
        <v>0</v>
      </c>
      <c r="O279" s="57"/>
      <c r="P279" s="33">
        <v>61000</v>
      </c>
      <c r="Q279" s="57"/>
      <c r="R279" s="33">
        <v>0</v>
      </c>
      <c r="S279" s="29">
        <f t="shared" si="10"/>
        <v>0</v>
      </c>
    </row>
    <row r="280" spans="3:19" x14ac:dyDescent="0.25">
      <c r="C280" s="30" t="s">
        <v>93</v>
      </c>
      <c r="D280" s="30"/>
      <c r="E280" s="34"/>
      <c r="F280" s="18">
        <f t="shared" si="11"/>
        <v>4443000</v>
      </c>
      <c r="G280" s="35"/>
      <c r="H280" s="33">
        <v>115000</v>
      </c>
      <c r="I280" s="57"/>
      <c r="J280" s="33">
        <v>27000</v>
      </c>
      <c r="K280" s="57"/>
      <c r="L280" s="33">
        <v>4301000</v>
      </c>
      <c r="M280" s="57"/>
      <c r="N280" s="33">
        <v>2352000</v>
      </c>
      <c r="O280" s="57"/>
      <c r="P280" s="33">
        <v>2119000</v>
      </c>
      <c r="Q280" s="57"/>
      <c r="R280" s="33">
        <v>28000</v>
      </c>
      <c r="S280" s="29">
        <f t="shared" si="10"/>
        <v>0</v>
      </c>
    </row>
    <row r="281" spans="3:19" x14ac:dyDescent="0.25">
      <c r="C281" s="30" t="s">
        <v>139</v>
      </c>
      <c r="D281" s="30"/>
      <c r="E281" s="34"/>
      <c r="F281" s="18">
        <f t="shared" si="11"/>
        <v>10000</v>
      </c>
      <c r="G281" s="35"/>
      <c r="H281" s="33">
        <v>1000</v>
      </c>
      <c r="I281" s="57"/>
      <c r="J281" s="33">
        <v>0</v>
      </c>
      <c r="K281" s="57"/>
      <c r="L281" s="33">
        <v>9000</v>
      </c>
      <c r="M281" s="57"/>
      <c r="N281" s="33">
        <v>6000</v>
      </c>
      <c r="O281" s="57"/>
      <c r="P281" s="33">
        <v>4000</v>
      </c>
      <c r="Q281" s="57"/>
      <c r="R281" s="33">
        <v>0</v>
      </c>
      <c r="S281" s="29">
        <f t="shared" si="10"/>
        <v>0</v>
      </c>
    </row>
    <row r="282" spans="3:19" x14ac:dyDescent="0.25">
      <c r="C282" s="30" t="s">
        <v>140</v>
      </c>
      <c r="D282" s="30"/>
      <c r="E282" s="34"/>
      <c r="F282" s="18">
        <f t="shared" si="11"/>
        <v>507000</v>
      </c>
      <c r="G282" s="35"/>
      <c r="H282" s="33">
        <v>140000</v>
      </c>
      <c r="I282" s="57"/>
      <c r="J282" s="33">
        <v>111000</v>
      </c>
      <c r="K282" s="57"/>
      <c r="L282" s="33">
        <v>256000</v>
      </c>
      <c r="M282" s="57"/>
      <c r="N282" s="33">
        <v>327000</v>
      </c>
      <c r="O282" s="57"/>
      <c r="P282" s="33">
        <v>180000</v>
      </c>
      <c r="Q282" s="57"/>
      <c r="R282" s="33">
        <v>0</v>
      </c>
      <c r="S282" s="29">
        <f t="shared" si="10"/>
        <v>0</v>
      </c>
    </row>
    <row r="283" spans="3:19" x14ac:dyDescent="0.25">
      <c r="C283" s="30" t="s">
        <v>97</v>
      </c>
      <c r="D283" s="30"/>
      <c r="E283" s="34"/>
      <c r="F283" s="18">
        <f t="shared" si="11"/>
        <v>422000</v>
      </c>
      <c r="G283" s="35"/>
      <c r="H283" s="33">
        <v>52000</v>
      </c>
      <c r="I283" s="57"/>
      <c r="J283" s="33">
        <v>79000</v>
      </c>
      <c r="K283" s="57"/>
      <c r="L283" s="33">
        <v>291000</v>
      </c>
      <c r="M283" s="57"/>
      <c r="N283" s="33">
        <v>113000</v>
      </c>
      <c r="O283" s="57"/>
      <c r="P283" s="33">
        <v>309000</v>
      </c>
      <c r="Q283" s="57"/>
      <c r="R283" s="33">
        <v>0</v>
      </c>
      <c r="S283" s="29">
        <f t="shared" si="10"/>
        <v>0</v>
      </c>
    </row>
    <row r="284" spans="3:19" x14ac:dyDescent="0.25">
      <c r="C284" s="30" t="s">
        <v>98</v>
      </c>
      <c r="D284" s="30"/>
      <c r="E284" s="34"/>
      <c r="F284" s="18">
        <f t="shared" si="11"/>
        <v>23000</v>
      </c>
      <c r="G284" s="35"/>
      <c r="H284" s="33">
        <f>9000-1000</f>
        <v>8000</v>
      </c>
      <c r="I284" s="57"/>
      <c r="J284" s="33">
        <v>14000</v>
      </c>
      <c r="K284" s="57"/>
      <c r="L284" s="33">
        <v>1000</v>
      </c>
      <c r="M284" s="57"/>
      <c r="N284" s="33">
        <v>5000</v>
      </c>
      <c r="O284" s="57"/>
      <c r="P284" s="33">
        <v>18000</v>
      </c>
      <c r="Q284" s="57"/>
      <c r="R284" s="33">
        <v>0</v>
      </c>
      <c r="S284" s="29">
        <f t="shared" si="10"/>
        <v>0</v>
      </c>
    </row>
    <row r="285" spans="3:19" x14ac:dyDescent="0.25">
      <c r="C285" s="30" t="s">
        <v>99</v>
      </c>
      <c r="D285" s="30"/>
      <c r="E285" s="34"/>
      <c r="F285" s="18">
        <f t="shared" si="11"/>
        <v>0</v>
      </c>
      <c r="G285" s="35"/>
      <c r="H285" s="33">
        <v>0</v>
      </c>
      <c r="I285" s="57"/>
      <c r="J285" s="33">
        <v>0</v>
      </c>
      <c r="K285" s="57"/>
      <c r="L285" s="33">
        <v>0</v>
      </c>
      <c r="M285" s="57"/>
      <c r="N285" s="33">
        <v>0</v>
      </c>
      <c r="O285" s="57"/>
      <c r="P285" s="33">
        <v>0</v>
      </c>
      <c r="Q285" s="57"/>
      <c r="R285" s="33">
        <v>0</v>
      </c>
      <c r="S285" s="29">
        <f t="shared" si="10"/>
        <v>0</v>
      </c>
    </row>
    <row r="286" spans="3:19" x14ac:dyDescent="0.25">
      <c r="C286" s="30" t="s">
        <v>100</v>
      </c>
      <c r="D286" s="30"/>
      <c r="E286" s="34"/>
      <c r="F286" s="18">
        <f t="shared" si="11"/>
        <v>33000</v>
      </c>
      <c r="G286" s="35"/>
      <c r="H286" s="33">
        <v>9000</v>
      </c>
      <c r="I286" s="57"/>
      <c r="J286" s="33">
        <v>21000</v>
      </c>
      <c r="K286" s="57"/>
      <c r="L286" s="33">
        <v>3000</v>
      </c>
      <c r="M286" s="57"/>
      <c r="N286" s="33">
        <v>2000</v>
      </c>
      <c r="O286" s="57"/>
      <c r="P286" s="33">
        <v>31000</v>
      </c>
      <c r="Q286" s="57"/>
      <c r="R286" s="33">
        <v>0</v>
      </c>
      <c r="S286" s="29">
        <f t="shared" si="10"/>
        <v>0</v>
      </c>
    </row>
    <row r="287" spans="3:19" x14ac:dyDescent="0.25">
      <c r="C287" s="30" t="s">
        <v>101</v>
      </c>
      <c r="D287" s="30"/>
      <c r="E287" s="34"/>
      <c r="F287" s="18">
        <f t="shared" si="11"/>
        <v>445000</v>
      </c>
      <c r="G287" s="35"/>
      <c r="H287" s="33">
        <v>10000</v>
      </c>
      <c r="I287" s="57"/>
      <c r="J287" s="33">
        <v>3000</v>
      </c>
      <c r="K287" s="57"/>
      <c r="L287" s="33">
        <v>432000</v>
      </c>
      <c r="M287" s="57"/>
      <c r="N287" s="33">
        <v>301000</v>
      </c>
      <c r="O287" s="57"/>
      <c r="P287" s="33">
        <v>144000</v>
      </c>
      <c r="Q287" s="57"/>
      <c r="R287" s="33">
        <v>0</v>
      </c>
      <c r="S287" s="29">
        <f t="shared" si="10"/>
        <v>0</v>
      </c>
    </row>
    <row r="288" spans="3:19" x14ac:dyDescent="0.25">
      <c r="C288" s="30" t="s">
        <v>102</v>
      </c>
      <c r="D288" s="30"/>
      <c r="E288" s="34"/>
      <c r="F288" s="18">
        <f t="shared" si="11"/>
        <v>115000</v>
      </c>
      <c r="G288" s="35"/>
      <c r="H288" s="33">
        <v>10000</v>
      </c>
      <c r="I288" s="57"/>
      <c r="J288" s="33">
        <f>42000-1000</f>
        <v>41000</v>
      </c>
      <c r="K288" s="57"/>
      <c r="L288" s="33">
        <v>64000</v>
      </c>
      <c r="M288" s="57"/>
      <c r="N288" s="33">
        <v>66000</v>
      </c>
      <c r="O288" s="57"/>
      <c r="P288" s="33">
        <v>49000</v>
      </c>
      <c r="Q288" s="57"/>
      <c r="R288" s="33">
        <v>0</v>
      </c>
      <c r="S288" s="29">
        <f t="shared" si="10"/>
        <v>0</v>
      </c>
    </row>
    <row r="289" spans="3:19" x14ac:dyDescent="0.25">
      <c r="C289" s="30" t="s">
        <v>104</v>
      </c>
      <c r="D289" s="30"/>
      <c r="E289" s="34"/>
      <c r="F289" s="18">
        <f t="shared" si="11"/>
        <v>195000</v>
      </c>
      <c r="G289" s="35"/>
      <c r="H289" s="33">
        <f>82000-1000</f>
        <v>81000</v>
      </c>
      <c r="I289" s="57"/>
      <c r="J289" s="33">
        <v>38000</v>
      </c>
      <c r="K289" s="57"/>
      <c r="L289" s="33">
        <v>76000</v>
      </c>
      <c r="M289" s="57"/>
      <c r="N289" s="33">
        <v>94000</v>
      </c>
      <c r="O289" s="57"/>
      <c r="P289" s="33">
        <v>101000</v>
      </c>
      <c r="Q289" s="57"/>
      <c r="R289" s="33">
        <v>0</v>
      </c>
      <c r="S289" s="29">
        <f t="shared" si="10"/>
        <v>0</v>
      </c>
    </row>
    <row r="290" spans="3:19" x14ac:dyDescent="0.25">
      <c r="C290" s="30" t="s">
        <v>141</v>
      </c>
      <c r="D290" s="30"/>
      <c r="E290" s="34"/>
      <c r="F290" s="18">
        <f t="shared" si="11"/>
        <v>3691000</v>
      </c>
      <c r="G290" s="35"/>
      <c r="H290" s="33">
        <v>65000</v>
      </c>
      <c r="I290" s="57"/>
      <c r="J290" s="33">
        <v>68000</v>
      </c>
      <c r="K290" s="57"/>
      <c r="L290" s="33">
        <v>3558000</v>
      </c>
      <c r="M290" s="57"/>
      <c r="N290" s="33">
        <v>2077000</v>
      </c>
      <c r="O290" s="57"/>
      <c r="P290" s="33">
        <v>1614000</v>
      </c>
      <c r="Q290" s="57"/>
      <c r="R290" s="33">
        <v>0</v>
      </c>
      <c r="S290" s="29">
        <f t="shared" si="10"/>
        <v>0</v>
      </c>
    </row>
    <row r="291" spans="3:19" x14ac:dyDescent="0.25">
      <c r="C291" s="30" t="s">
        <v>461</v>
      </c>
      <c r="D291" s="30"/>
      <c r="E291" s="34"/>
      <c r="F291" s="18">
        <f t="shared" si="11"/>
        <v>1000</v>
      </c>
      <c r="G291" s="35"/>
      <c r="H291" s="33">
        <v>0</v>
      </c>
      <c r="I291" s="57"/>
      <c r="J291" s="33">
        <v>0</v>
      </c>
      <c r="K291" s="57"/>
      <c r="L291" s="33">
        <v>1000</v>
      </c>
      <c r="M291" s="57"/>
      <c r="N291" s="33">
        <v>0</v>
      </c>
      <c r="O291" s="57"/>
      <c r="P291" s="33">
        <v>1000</v>
      </c>
      <c r="Q291" s="57"/>
      <c r="R291" s="33">
        <v>0</v>
      </c>
      <c r="S291" s="29">
        <f t="shared" si="10"/>
        <v>0</v>
      </c>
    </row>
    <row r="292" spans="3:19" x14ac:dyDescent="0.25">
      <c r="C292" s="30" t="s">
        <v>108</v>
      </c>
      <c r="D292" s="30"/>
      <c r="E292" s="34"/>
      <c r="F292" s="18">
        <f t="shared" si="11"/>
        <v>11000</v>
      </c>
      <c r="G292" s="35"/>
      <c r="H292" s="33">
        <v>7000</v>
      </c>
      <c r="I292" s="57"/>
      <c r="J292" s="33">
        <v>1000</v>
      </c>
      <c r="K292" s="57"/>
      <c r="L292" s="33">
        <v>3000</v>
      </c>
      <c r="M292" s="57"/>
      <c r="N292" s="33">
        <v>0</v>
      </c>
      <c r="O292" s="57"/>
      <c r="P292" s="33">
        <v>11000</v>
      </c>
      <c r="Q292" s="57"/>
      <c r="R292" s="33">
        <v>0</v>
      </c>
      <c r="S292" s="29">
        <f t="shared" si="10"/>
        <v>0</v>
      </c>
    </row>
    <row r="293" spans="3:19" x14ac:dyDescent="0.25">
      <c r="C293" s="30" t="s">
        <v>462</v>
      </c>
      <c r="D293" s="30"/>
      <c r="E293" s="34"/>
      <c r="F293" s="18">
        <f t="shared" si="11"/>
        <v>1100000</v>
      </c>
      <c r="G293" s="35"/>
      <c r="H293" s="33">
        <v>0</v>
      </c>
      <c r="I293" s="57"/>
      <c r="J293" s="33">
        <v>0</v>
      </c>
      <c r="K293" s="57"/>
      <c r="L293" s="33">
        <v>1100000</v>
      </c>
      <c r="M293" s="57"/>
      <c r="N293" s="33">
        <v>0</v>
      </c>
      <c r="O293" s="57"/>
      <c r="P293" s="33">
        <v>1100000</v>
      </c>
      <c r="Q293" s="57"/>
      <c r="R293" s="33">
        <v>0</v>
      </c>
      <c r="S293" s="29">
        <f t="shared" si="10"/>
        <v>0</v>
      </c>
    </row>
    <row r="294" spans="3:19" x14ac:dyDescent="0.25">
      <c r="C294" s="30" t="s">
        <v>142</v>
      </c>
      <c r="D294" s="30"/>
      <c r="E294" s="34"/>
      <c r="F294" s="18">
        <f t="shared" si="11"/>
        <v>597000</v>
      </c>
      <c r="G294" s="35"/>
      <c r="H294" s="33">
        <v>13000</v>
      </c>
      <c r="I294" s="57"/>
      <c r="J294" s="33">
        <v>7000</v>
      </c>
      <c r="K294" s="57"/>
      <c r="L294" s="33">
        <v>577000</v>
      </c>
      <c r="M294" s="57"/>
      <c r="N294" s="33">
        <f>321000-1000</f>
        <v>320000</v>
      </c>
      <c r="O294" s="57"/>
      <c r="P294" s="33">
        <v>277000</v>
      </c>
      <c r="Q294" s="57"/>
      <c r="R294" s="33">
        <v>0</v>
      </c>
      <c r="S294" s="29">
        <f t="shared" si="10"/>
        <v>0</v>
      </c>
    </row>
    <row r="295" spans="3:19" x14ac:dyDescent="0.25">
      <c r="C295" s="30" t="s">
        <v>113</v>
      </c>
      <c r="D295" s="30"/>
      <c r="E295" s="34"/>
      <c r="F295" s="18">
        <f t="shared" si="11"/>
        <v>46000</v>
      </c>
      <c r="G295" s="35"/>
      <c r="H295" s="33">
        <v>1000</v>
      </c>
      <c r="I295" s="57"/>
      <c r="J295" s="33">
        <v>2000</v>
      </c>
      <c r="K295" s="57"/>
      <c r="L295" s="33">
        <v>43000</v>
      </c>
      <c r="M295" s="57"/>
      <c r="N295" s="33">
        <v>2000</v>
      </c>
      <c r="O295" s="57"/>
      <c r="P295" s="33">
        <v>44000</v>
      </c>
      <c r="Q295" s="57"/>
      <c r="R295" s="33">
        <v>0</v>
      </c>
      <c r="S295" s="29">
        <f t="shared" si="10"/>
        <v>0</v>
      </c>
    </row>
    <row r="296" spans="3:19" x14ac:dyDescent="0.25">
      <c r="C296" s="30" t="s">
        <v>115</v>
      </c>
      <c r="D296" s="30"/>
      <c r="E296" s="34"/>
      <c r="F296" s="18">
        <f t="shared" si="11"/>
        <v>29503000</v>
      </c>
      <c r="G296" s="35"/>
      <c r="H296" s="33">
        <v>451000</v>
      </c>
      <c r="I296" s="57"/>
      <c r="J296" s="33">
        <v>224000</v>
      </c>
      <c r="K296" s="57"/>
      <c r="L296" s="33">
        <v>28828000</v>
      </c>
      <c r="M296" s="57"/>
      <c r="N296" s="33">
        <v>13550000</v>
      </c>
      <c r="O296" s="57"/>
      <c r="P296" s="33">
        <v>15953000</v>
      </c>
      <c r="Q296" s="57"/>
      <c r="R296" s="33">
        <v>0</v>
      </c>
      <c r="S296" s="29">
        <f t="shared" si="10"/>
        <v>0</v>
      </c>
    </row>
    <row r="297" spans="3:19" x14ac:dyDescent="0.25">
      <c r="C297" s="30" t="s">
        <v>143</v>
      </c>
      <c r="D297" s="30"/>
      <c r="E297" s="34"/>
      <c r="F297" s="18">
        <f t="shared" si="11"/>
        <v>220000</v>
      </c>
      <c r="G297" s="35"/>
      <c r="H297" s="33">
        <v>14000</v>
      </c>
      <c r="I297" s="57"/>
      <c r="J297" s="33">
        <v>24000</v>
      </c>
      <c r="K297" s="57"/>
      <c r="L297" s="33">
        <v>182000</v>
      </c>
      <c r="M297" s="57"/>
      <c r="N297" s="33">
        <v>53000</v>
      </c>
      <c r="O297" s="57"/>
      <c r="P297" s="33">
        <v>167000</v>
      </c>
      <c r="Q297" s="57"/>
      <c r="R297" s="33">
        <v>0</v>
      </c>
      <c r="S297" s="29">
        <f t="shared" si="10"/>
        <v>0</v>
      </c>
    </row>
    <row r="298" spans="3:19" x14ac:dyDescent="0.25">
      <c r="C298" s="30" t="s">
        <v>117</v>
      </c>
      <c r="D298" s="30"/>
      <c r="E298" s="34"/>
      <c r="F298" s="18">
        <f t="shared" si="11"/>
        <v>3000</v>
      </c>
      <c r="G298" s="35"/>
      <c r="H298" s="33">
        <v>0</v>
      </c>
      <c r="I298" s="57"/>
      <c r="J298" s="33">
        <v>3000</v>
      </c>
      <c r="K298" s="57"/>
      <c r="L298" s="33">
        <v>0</v>
      </c>
      <c r="M298" s="57"/>
      <c r="N298" s="33">
        <v>2000</v>
      </c>
      <c r="O298" s="57"/>
      <c r="P298" s="33">
        <v>1000</v>
      </c>
      <c r="Q298" s="57"/>
      <c r="R298" s="33">
        <v>0</v>
      </c>
      <c r="S298" s="29">
        <f t="shared" si="10"/>
        <v>0</v>
      </c>
    </row>
    <row r="299" spans="3:19" x14ac:dyDescent="0.25">
      <c r="C299" s="30" t="s">
        <v>144</v>
      </c>
      <c r="D299" s="30"/>
      <c r="E299" s="34"/>
      <c r="F299" s="18">
        <f t="shared" si="11"/>
        <v>31000</v>
      </c>
      <c r="G299" s="35"/>
      <c r="H299" s="33">
        <v>2000</v>
      </c>
      <c r="I299" s="57"/>
      <c r="J299" s="33">
        <v>14000</v>
      </c>
      <c r="K299" s="57"/>
      <c r="L299" s="33">
        <f>16000-1000</f>
        <v>15000</v>
      </c>
      <c r="M299" s="57"/>
      <c r="N299" s="33">
        <v>8000</v>
      </c>
      <c r="O299" s="57"/>
      <c r="P299" s="33">
        <v>23000</v>
      </c>
      <c r="Q299" s="57"/>
      <c r="R299" s="33">
        <v>0</v>
      </c>
      <c r="S299" s="29">
        <f t="shared" si="10"/>
        <v>0</v>
      </c>
    </row>
    <row r="300" spans="3:19" x14ac:dyDescent="0.25">
      <c r="C300" s="30" t="s">
        <v>120</v>
      </c>
      <c r="D300" s="30"/>
      <c r="E300" s="34"/>
      <c r="F300" s="18">
        <f t="shared" si="11"/>
        <v>649000</v>
      </c>
      <c r="G300" s="35"/>
      <c r="H300" s="33">
        <v>19000</v>
      </c>
      <c r="I300" s="57"/>
      <c r="J300" s="33">
        <v>0</v>
      </c>
      <c r="K300" s="57"/>
      <c r="L300" s="33">
        <v>630000</v>
      </c>
      <c r="M300" s="57"/>
      <c r="N300" s="33">
        <v>134000</v>
      </c>
      <c r="O300" s="57"/>
      <c r="P300" s="33">
        <v>515000</v>
      </c>
      <c r="Q300" s="57"/>
      <c r="R300" s="33">
        <v>0</v>
      </c>
      <c r="S300" s="29">
        <f t="shared" si="10"/>
        <v>0</v>
      </c>
    </row>
    <row r="301" spans="3:19" x14ac:dyDescent="0.25">
      <c r="C301" s="30" t="s">
        <v>121</v>
      </c>
      <c r="D301" s="30"/>
      <c r="E301" s="34"/>
      <c r="F301" s="18">
        <f t="shared" si="11"/>
        <v>13105000</v>
      </c>
      <c r="G301" s="35"/>
      <c r="H301" s="33">
        <v>123000</v>
      </c>
      <c r="I301" s="57"/>
      <c r="J301" s="33">
        <v>164000</v>
      </c>
      <c r="K301" s="57"/>
      <c r="L301" s="33">
        <v>12818000</v>
      </c>
      <c r="M301" s="57"/>
      <c r="N301" s="33">
        <v>6139000</v>
      </c>
      <c r="O301" s="57"/>
      <c r="P301" s="33">
        <v>6966000</v>
      </c>
      <c r="Q301" s="57"/>
      <c r="R301" s="33">
        <v>0</v>
      </c>
      <c r="S301" s="29">
        <f t="shared" si="10"/>
        <v>0</v>
      </c>
    </row>
    <row r="302" spans="3:19" x14ac:dyDescent="0.25">
      <c r="C302" s="30" t="s">
        <v>122</v>
      </c>
      <c r="D302" s="30"/>
      <c r="E302" s="34"/>
      <c r="F302" s="18">
        <f t="shared" si="11"/>
        <v>94000</v>
      </c>
      <c r="G302" s="35"/>
      <c r="H302" s="33">
        <v>0</v>
      </c>
      <c r="I302" s="57"/>
      <c r="J302" s="33">
        <v>12000</v>
      </c>
      <c r="K302" s="57"/>
      <c r="L302" s="33">
        <v>82000</v>
      </c>
      <c r="M302" s="57"/>
      <c r="N302" s="33">
        <v>38000</v>
      </c>
      <c r="O302" s="57"/>
      <c r="P302" s="33">
        <v>56000</v>
      </c>
      <c r="Q302" s="57"/>
      <c r="R302" s="33">
        <v>0</v>
      </c>
      <c r="S302" s="29">
        <f t="shared" si="10"/>
        <v>0</v>
      </c>
    </row>
    <row r="303" spans="3:19" x14ac:dyDescent="0.25">
      <c r="C303" s="30" t="s">
        <v>123</v>
      </c>
      <c r="D303" s="30"/>
      <c r="E303" s="34"/>
      <c r="F303" s="18">
        <f t="shared" si="11"/>
        <v>2046000</v>
      </c>
      <c r="G303" s="35"/>
      <c r="H303" s="33">
        <f>46000-1000+2000</f>
        <v>47000</v>
      </c>
      <c r="I303" s="57"/>
      <c r="J303" s="33">
        <f>86000-2000</f>
        <v>84000</v>
      </c>
      <c r="K303" s="57"/>
      <c r="L303" s="33">
        <v>1915000</v>
      </c>
      <c r="M303" s="57"/>
      <c r="N303" s="33">
        <v>1133000</v>
      </c>
      <c r="O303" s="57"/>
      <c r="P303" s="33">
        <v>913000</v>
      </c>
      <c r="Q303" s="57"/>
      <c r="R303" s="33">
        <v>0</v>
      </c>
      <c r="S303" s="29">
        <f t="shared" si="10"/>
        <v>0</v>
      </c>
    </row>
    <row r="304" spans="3:19" x14ac:dyDescent="0.25">
      <c r="C304" s="30" t="s">
        <v>124</v>
      </c>
      <c r="D304" s="30"/>
      <c r="E304" s="34"/>
      <c r="F304" s="18">
        <f t="shared" si="11"/>
        <v>181000</v>
      </c>
      <c r="G304" s="35"/>
      <c r="H304" s="33">
        <v>9000</v>
      </c>
      <c r="I304" s="57"/>
      <c r="J304" s="33">
        <f>8000+1000</f>
        <v>9000</v>
      </c>
      <c r="K304" s="57"/>
      <c r="L304" s="33">
        <v>163000</v>
      </c>
      <c r="M304" s="57"/>
      <c r="N304" s="33">
        <v>90000</v>
      </c>
      <c r="O304" s="57"/>
      <c r="P304" s="33">
        <v>91000</v>
      </c>
      <c r="Q304" s="57"/>
      <c r="R304" s="33">
        <v>0</v>
      </c>
      <c r="S304" s="29">
        <f t="shared" si="10"/>
        <v>0</v>
      </c>
    </row>
    <row r="305" spans="2:19" x14ac:dyDescent="0.25">
      <c r="C305" s="30" t="s">
        <v>127</v>
      </c>
      <c r="D305" s="30"/>
      <c r="E305" s="34"/>
      <c r="F305" s="18">
        <f t="shared" si="11"/>
        <v>9000</v>
      </c>
      <c r="G305" s="35"/>
      <c r="H305" s="33">
        <v>0</v>
      </c>
      <c r="I305" s="57"/>
      <c r="J305" s="33">
        <f>8000-1000</f>
        <v>7000</v>
      </c>
      <c r="K305" s="57"/>
      <c r="L305" s="33">
        <v>2000</v>
      </c>
      <c r="M305" s="57"/>
      <c r="N305" s="33">
        <v>6000</v>
      </c>
      <c r="O305" s="57"/>
      <c r="P305" s="33">
        <v>3000</v>
      </c>
      <c r="Q305" s="57"/>
      <c r="R305" s="33">
        <v>0</v>
      </c>
      <c r="S305" s="29">
        <f t="shared" si="10"/>
        <v>0</v>
      </c>
    </row>
    <row r="306" spans="2:19" x14ac:dyDescent="0.25">
      <c r="C306" s="30" t="s">
        <v>128</v>
      </c>
      <c r="D306" s="30"/>
      <c r="E306" s="34"/>
      <c r="F306" s="18">
        <f t="shared" si="11"/>
        <v>31000</v>
      </c>
      <c r="G306" s="35"/>
      <c r="H306" s="33">
        <v>5000</v>
      </c>
      <c r="I306" s="57"/>
      <c r="J306" s="33">
        <v>21000</v>
      </c>
      <c r="K306" s="57"/>
      <c r="L306" s="33">
        <v>5000</v>
      </c>
      <c r="M306" s="57"/>
      <c r="N306" s="33">
        <v>3000</v>
      </c>
      <c r="O306" s="57"/>
      <c r="P306" s="33">
        <v>28000</v>
      </c>
      <c r="Q306" s="57"/>
      <c r="R306" s="33">
        <v>0</v>
      </c>
      <c r="S306" s="29">
        <f t="shared" si="10"/>
        <v>0</v>
      </c>
    </row>
    <row r="307" spans="2:19" x14ac:dyDescent="0.25">
      <c r="C307" s="30" t="s">
        <v>130</v>
      </c>
      <c r="D307" s="30"/>
      <c r="E307" s="34"/>
      <c r="F307" s="18">
        <f t="shared" si="11"/>
        <v>66000</v>
      </c>
      <c r="G307" s="35"/>
      <c r="H307" s="33">
        <v>15000</v>
      </c>
      <c r="I307" s="57"/>
      <c r="J307" s="33">
        <v>17000</v>
      </c>
      <c r="K307" s="57"/>
      <c r="L307" s="33">
        <v>34000</v>
      </c>
      <c r="M307" s="57"/>
      <c r="N307" s="33">
        <v>22000</v>
      </c>
      <c r="O307" s="57"/>
      <c r="P307" s="33">
        <v>44000</v>
      </c>
      <c r="Q307" s="57"/>
      <c r="R307" s="33">
        <v>0</v>
      </c>
      <c r="S307" s="29">
        <f t="shared" si="10"/>
        <v>0</v>
      </c>
    </row>
    <row r="308" spans="2:19" x14ac:dyDescent="0.25">
      <c r="C308" s="30" t="s">
        <v>131</v>
      </c>
      <c r="D308" s="30"/>
      <c r="E308" s="34"/>
      <c r="F308" s="18">
        <f t="shared" si="11"/>
        <v>8000</v>
      </c>
      <c r="G308" s="35"/>
      <c r="H308" s="33">
        <v>0</v>
      </c>
      <c r="I308" s="57"/>
      <c r="J308" s="33">
        <v>7000</v>
      </c>
      <c r="K308" s="57"/>
      <c r="L308" s="33">
        <v>1000</v>
      </c>
      <c r="M308" s="57"/>
      <c r="N308" s="33">
        <v>0</v>
      </c>
      <c r="O308" s="57"/>
      <c r="P308" s="33">
        <v>8000</v>
      </c>
      <c r="Q308" s="57"/>
      <c r="R308" s="33">
        <v>0</v>
      </c>
      <c r="S308" s="29">
        <f t="shared" si="10"/>
        <v>0</v>
      </c>
    </row>
    <row r="309" spans="2:19" x14ac:dyDescent="0.25">
      <c r="C309" s="30" t="s">
        <v>132</v>
      </c>
      <c r="D309" s="30"/>
      <c r="E309" s="34"/>
      <c r="F309" s="18">
        <f t="shared" si="11"/>
        <v>132000</v>
      </c>
      <c r="G309" s="35"/>
      <c r="H309" s="33">
        <v>5000</v>
      </c>
      <c r="I309" s="57"/>
      <c r="J309" s="33">
        <v>57000</v>
      </c>
      <c r="K309" s="57"/>
      <c r="L309" s="33">
        <v>70000</v>
      </c>
      <c r="M309" s="57"/>
      <c r="N309" s="33">
        <v>45000</v>
      </c>
      <c r="O309" s="57"/>
      <c r="P309" s="33">
        <v>87000</v>
      </c>
      <c r="Q309" s="57"/>
      <c r="R309" s="33">
        <v>0</v>
      </c>
      <c r="S309" s="29">
        <f t="shared" si="10"/>
        <v>0</v>
      </c>
    </row>
    <row r="310" spans="2:19" x14ac:dyDescent="0.25">
      <c r="C310" s="30" t="s">
        <v>133</v>
      </c>
      <c r="D310" s="30"/>
      <c r="E310" s="34"/>
      <c r="F310" s="18">
        <f t="shared" si="11"/>
        <v>1525000</v>
      </c>
      <c r="G310" s="35"/>
      <c r="H310" s="33">
        <v>0</v>
      </c>
      <c r="I310" s="57"/>
      <c r="J310" s="33">
        <v>11000</v>
      </c>
      <c r="K310" s="57"/>
      <c r="L310" s="33">
        <v>1514000</v>
      </c>
      <c r="M310" s="57"/>
      <c r="N310" s="33">
        <f>1028000-1000</f>
        <v>1027000</v>
      </c>
      <c r="O310" s="57"/>
      <c r="P310" s="33">
        <f>497000+1000</f>
        <v>498000</v>
      </c>
      <c r="Q310" s="57"/>
      <c r="R310" s="33">
        <v>0</v>
      </c>
      <c r="S310" s="29">
        <f t="shared" si="10"/>
        <v>0</v>
      </c>
    </row>
    <row r="311" spans="2:19" x14ac:dyDescent="0.25">
      <c r="C311" s="46" t="s">
        <v>145</v>
      </c>
      <c r="D311" s="46"/>
      <c r="E311" s="34"/>
      <c r="F311" s="18">
        <f t="shared" si="11"/>
        <v>677000</v>
      </c>
      <c r="G311" s="35"/>
      <c r="H311" s="33">
        <v>91000</v>
      </c>
      <c r="I311" s="57"/>
      <c r="J311" s="33">
        <v>59000</v>
      </c>
      <c r="K311" s="57"/>
      <c r="L311" s="33">
        <f>526000+1000</f>
        <v>527000</v>
      </c>
      <c r="M311" s="57"/>
      <c r="N311" s="33">
        <v>397000</v>
      </c>
      <c r="O311" s="57"/>
      <c r="P311" s="33">
        <v>280000</v>
      </c>
      <c r="Q311" s="57"/>
      <c r="R311" s="33">
        <v>0</v>
      </c>
      <c r="S311" s="29">
        <f t="shared" si="10"/>
        <v>0</v>
      </c>
    </row>
    <row r="312" spans="2:19" x14ac:dyDescent="0.25">
      <c r="C312" s="30" t="s">
        <v>138</v>
      </c>
      <c r="D312" s="30"/>
      <c r="E312" s="34"/>
      <c r="F312" s="58">
        <f t="shared" si="11"/>
        <v>35000</v>
      </c>
      <c r="G312" s="7"/>
      <c r="H312" s="36">
        <v>1000</v>
      </c>
      <c r="I312" s="33"/>
      <c r="J312" s="36">
        <v>30000</v>
      </c>
      <c r="K312" s="33"/>
      <c r="L312" s="36">
        <v>4000</v>
      </c>
      <c r="M312" s="33"/>
      <c r="N312" s="36">
        <v>22000</v>
      </c>
      <c r="O312" s="33"/>
      <c r="P312" s="36">
        <v>13000</v>
      </c>
      <c r="Q312" s="33"/>
      <c r="R312" s="36">
        <v>0</v>
      </c>
      <c r="S312" s="29">
        <f t="shared" si="10"/>
        <v>0</v>
      </c>
    </row>
    <row r="313" spans="2:19" x14ac:dyDescent="0.25"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29">
        <f t="shared" si="10"/>
        <v>0</v>
      </c>
    </row>
    <row r="314" spans="2:19" x14ac:dyDescent="0.25">
      <c r="E314" s="30" t="s">
        <v>2</v>
      </c>
      <c r="F314" s="58">
        <f>SUM(H314:L314)</f>
        <v>66625000</v>
      </c>
      <c r="G314" s="7"/>
      <c r="H314" s="58">
        <f>SUM(H269:H313)</f>
        <v>1491000</v>
      </c>
      <c r="I314" s="18"/>
      <c r="J314" s="58">
        <f>SUM(J269:J313)</f>
        <v>1538000</v>
      </c>
      <c r="K314" s="18"/>
      <c r="L314" s="58">
        <f>SUM(L269:L313)</f>
        <v>63596000</v>
      </c>
      <c r="M314" s="18"/>
      <c r="N314" s="58">
        <f>SUM(N269:N313)</f>
        <v>31966000</v>
      </c>
      <c r="O314" s="18"/>
      <c r="P314" s="58">
        <f>SUM(P269:P313)</f>
        <v>34687000</v>
      </c>
      <c r="Q314" s="18"/>
      <c r="R314" s="58">
        <f>SUM(R269:R313)</f>
        <v>28000</v>
      </c>
      <c r="S314" s="29">
        <f t="shared" si="10"/>
        <v>0</v>
      </c>
    </row>
    <row r="315" spans="2:19" x14ac:dyDescent="0.25">
      <c r="B315" s="46"/>
      <c r="C315" s="46"/>
      <c r="D315" s="46"/>
      <c r="E315" s="4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29">
        <f t="shared" si="10"/>
        <v>0</v>
      </c>
    </row>
    <row r="316" spans="2:19" x14ac:dyDescent="0.25">
      <c r="B316" s="38" t="s">
        <v>25</v>
      </c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29">
        <f t="shared" si="10"/>
        <v>0</v>
      </c>
    </row>
    <row r="317" spans="2:19" x14ac:dyDescent="0.25">
      <c r="C317" s="38" t="s">
        <v>81</v>
      </c>
      <c r="F317" s="18">
        <f t="shared" ref="F317:F324" si="12">SUM(H317:L317)</f>
        <v>152000</v>
      </c>
      <c r="G317" s="35"/>
      <c r="H317" s="33">
        <v>0</v>
      </c>
      <c r="I317" s="57"/>
      <c r="J317" s="33">
        <v>0</v>
      </c>
      <c r="K317" s="57"/>
      <c r="L317" s="33">
        <v>152000</v>
      </c>
      <c r="M317" s="57"/>
      <c r="N317" s="33">
        <v>45000</v>
      </c>
      <c r="O317" s="57"/>
      <c r="P317" s="33">
        <f>108000-1000</f>
        <v>107000</v>
      </c>
      <c r="Q317" s="57"/>
      <c r="R317" s="33">
        <v>0</v>
      </c>
      <c r="S317" s="29">
        <f t="shared" si="10"/>
        <v>0</v>
      </c>
    </row>
    <row r="318" spans="2:19" x14ac:dyDescent="0.25">
      <c r="C318" s="38" t="s">
        <v>463</v>
      </c>
      <c r="F318" s="18">
        <f t="shared" si="12"/>
        <v>1000</v>
      </c>
      <c r="G318" s="35"/>
      <c r="H318" s="33">
        <v>0</v>
      </c>
      <c r="I318" s="57"/>
      <c r="J318" s="33">
        <v>1000</v>
      </c>
      <c r="K318" s="57"/>
      <c r="L318" s="33">
        <v>0</v>
      </c>
      <c r="M318" s="57"/>
      <c r="N318" s="33">
        <v>0</v>
      </c>
      <c r="O318" s="57"/>
      <c r="P318" s="33">
        <v>1000</v>
      </c>
      <c r="Q318" s="57"/>
      <c r="R318" s="33">
        <v>0</v>
      </c>
      <c r="S318" s="29">
        <f t="shared" si="10"/>
        <v>0</v>
      </c>
    </row>
    <row r="319" spans="2:19" x14ac:dyDescent="0.25">
      <c r="C319" s="30" t="s">
        <v>92</v>
      </c>
      <c r="D319" s="30"/>
      <c r="E319" s="34"/>
      <c r="F319" s="18">
        <f t="shared" si="12"/>
        <v>53000</v>
      </c>
      <c r="G319" s="35"/>
      <c r="H319" s="33">
        <v>0</v>
      </c>
      <c r="I319" s="57"/>
      <c r="J319" s="33">
        <v>50000</v>
      </c>
      <c r="K319" s="57"/>
      <c r="L319" s="33">
        <v>3000</v>
      </c>
      <c r="M319" s="57"/>
      <c r="N319" s="33">
        <v>37000</v>
      </c>
      <c r="O319" s="57"/>
      <c r="P319" s="33">
        <v>16000</v>
      </c>
      <c r="Q319" s="57"/>
      <c r="R319" s="33">
        <v>0</v>
      </c>
      <c r="S319" s="29">
        <f t="shared" si="10"/>
        <v>0</v>
      </c>
    </row>
    <row r="320" spans="2:19" x14ac:dyDescent="0.25">
      <c r="C320" s="30" t="s">
        <v>93</v>
      </c>
      <c r="D320" s="30"/>
      <c r="E320" s="34"/>
      <c r="F320" s="18">
        <f t="shared" si="12"/>
        <v>462000</v>
      </c>
      <c r="G320" s="35"/>
      <c r="H320" s="33">
        <v>0</v>
      </c>
      <c r="I320" s="57"/>
      <c r="J320" s="33">
        <v>0</v>
      </c>
      <c r="K320" s="57"/>
      <c r="L320" s="33">
        <f>461000+1000</f>
        <v>462000</v>
      </c>
      <c r="M320" s="57"/>
      <c r="N320" s="33">
        <v>8000</v>
      </c>
      <c r="O320" s="57"/>
      <c r="P320" s="33">
        <v>454000</v>
      </c>
      <c r="Q320" s="57"/>
      <c r="R320" s="33">
        <v>0</v>
      </c>
      <c r="S320" s="29">
        <f t="shared" si="10"/>
        <v>0</v>
      </c>
    </row>
    <row r="321" spans="1:19" x14ac:dyDescent="0.25">
      <c r="C321" s="30" t="s">
        <v>104</v>
      </c>
      <c r="D321" s="30"/>
      <c r="E321" s="34"/>
      <c r="F321" s="18">
        <f t="shared" si="12"/>
        <v>527000</v>
      </c>
      <c r="G321" s="35"/>
      <c r="H321" s="33">
        <v>40000</v>
      </c>
      <c r="I321" s="57"/>
      <c r="J321" s="33">
        <v>365000</v>
      </c>
      <c r="K321" s="57"/>
      <c r="L321" s="33">
        <v>122000</v>
      </c>
      <c r="M321" s="57"/>
      <c r="N321" s="33">
        <v>261000</v>
      </c>
      <c r="O321" s="57"/>
      <c r="P321" s="33">
        <v>266000</v>
      </c>
      <c r="Q321" s="57"/>
      <c r="R321" s="33">
        <v>0</v>
      </c>
      <c r="S321" s="29">
        <f t="shared" si="10"/>
        <v>0</v>
      </c>
    </row>
    <row r="322" spans="1:19" x14ac:dyDescent="0.25">
      <c r="C322" s="30" t="s">
        <v>142</v>
      </c>
      <c r="D322" s="30"/>
      <c r="E322" s="34"/>
      <c r="F322" s="18">
        <f t="shared" si="12"/>
        <v>18000</v>
      </c>
      <c r="G322" s="35"/>
      <c r="H322" s="33">
        <v>0</v>
      </c>
      <c r="I322" s="57"/>
      <c r="J322" s="33">
        <v>0</v>
      </c>
      <c r="K322" s="57"/>
      <c r="L322" s="33">
        <v>18000</v>
      </c>
      <c r="M322" s="57"/>
      <c r="N322" s="33">
        <v>0</v>
      </c>
      <c r="O322" s="57"/>
      <c r="P322" s="33">
        <v>18000</v>
      </c>
      <c r="Q322" s="57"/>
      <c r="R322" s="33">
        <v>0</v>
      </c>
      <c r="S322" s="29">
        <f t="shared" si="10"/>
        <v>0</v>
      </c>
    </row>
    <row r="323" spans="1:19" x14ac:dyDescent="0.25">
      <c r="C323" s="30" t="s">
        <v>113</v>
      </c>
      <c r="D323" s="30"/>
      <c r="E323" s="34"/>
      <c r="F323" s="18">
        <f t="shared" si="12"/>
        <v>5000</v>
      </c>
      <c r="G323" s="35"/>
      <c r="H323" s="33">
        <v>5000</v>
      </c>
      <c r="I323" s="57"/>
      <c r="J323" s="33">
        <v>0</v>
      </c>
      <c r="K323" s="57"/>
      <c r="L323" s="33">
        <v>0</v>
      </c>
      <c r="M323" s="57"/>
      <c r="N323" s="33">
        <v>4000</v>
      </c>
      <c r="O323" s="57"/>
      <c r="P323" s="33">
        <v>1000</v>
      </c>
      <c r="Q323" s="57"/>
      <c r="R323" s="33">
        <v>0</v>
      </c>
      <c r="S323" s="29">
        <f t="shared" si="10"/>
        <v>0</v>
      </c>
    </row>
    <row r="324" spans="1:19" x14ac:dyDescent="0.25">
      <c r="C324" s="30" t="s">
        <v>120</v>
      </c>
      <c r="D324" s="30"/>
      <c r="E324" s="34"/>
      <c r="F324" s="58">
        <f t="shared" si="12"/>
        <v>4000</v>
      </c>
      <c r="G324" s="7"/>
      <c r="H324" s="36">
        <v>0</v>
      </c>
      <c r="I324" s="33"/>
      <c r="J324" s="36">
        <v>0</v>
      </c>
      <c r="K324" s="33"/>
      <c r="L324" s="36">
        <v>4000</v>
      </c>
      <c r="M324" s="33"/>
      <c r="N324" s="36">
        <v>3000</v>
      </c>
      <c r="O324" s="33"/>
      <c r="P324" s="36">
        <v>1000</v>
      </c>
      <c r="Q324" s="33"/>
      <c r="R324" s="36">
        <v>0</v>
      </c>
      <c r="S324" s="29">
        <f t="shared" ref="S324:S385" si="13">+F324-N324-P324+R324</f>
        <v>0</v>
      </c>
    </row>
    <row r="325" spans="1:19" x14ac:dyDescent="0.25"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29">
        <f t="shared" si="13"/>
        <v>0</v>
      </c>
    </row>
    <row r="326" spans="1:19" x14ac:dyDescent="0.25">
      <c r="E326" s="30" t="s">
        <v>2</v>
      </c>
      <c r="F326" s="58">
        <f>SUM(H326:L326)</f>
        <v>1222000</v>
      </c>
      <c r="G326" s="7"/>
      <c r="H326" s="58">
        <f>SUM(H317:H325)</f>
        <v>45000</v>
      </c>
      <c r="I326" s="18"/>
      <c r="J326" s="58">
        <f>SUM(J317:J325)</f>
        <v>416000</v>
      </c>
      <c r="K326" s="18"/>
      <c r="L326" s="58">
        <f>SUM(L317:L325)</f>
        <v>761000</v>
      </c>
      <c r="M326" s="18"/>
      <c r="N326" s="58">
        <f>SUM(N317:N325)</f>
        <v>358000</v>
      </c>
      <c r="O326" s="18"/>
      <c r="P326" s="58">
        <f>SUM(P317:P325)</f>
        <v>864000</v>
      </c>
      <c r="Q326" s="18"/>
      <c r="R326" s="58">
        <f>SUM(R317:R325)</f>
        <v>0</v>
      </c>
      <c r="S326" s="29">
        <f t="shared" si="13"/>
        <v>0</v>
      </c>
    </row>
    <row r="327" spans="1:19" x14ac:dyDescent="0.25">
      <c r="A327" s="46"/>
      <c r="B327" s="46"/>
      <c r="C327" s="46"/>
      <c r="D327" s="46"/>
      <c r="E327" s="4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29">
        <f t="shared" si="13"/>
        <v>0</v>
      </c>
    </row>
    <row r="328" spans="1:19" x14ac:dyDescent="0.25">
      <c r="B328" s="38" t="s">
        <v>30</v>
      </c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29">
        <f t="shared" si="13"/>
        <v>0</v>
      </c>
    </row>
    <row r="329" spans="1:19" x14ac:dyDescent="0.25">
      <c r="C329" s="30" t="s">
        <v>80</v>
      </c>
      <c r="D329" s="30"/>
      <c r="E329" s="34"/>
      <c r="F329" s="18">
        <f>SUM(H329:L329)</f>
        <v>22000</v>
      </c>
      <c r="G329" s="35"/>
      <c r="H329" s="33">
        <v>8000</v>
      </c>
      <c r="I329" s="57"/>
      <c r="J329" s="33">
        <v>14000</v>
      </c>
      <c r="K329" s="57"/>
      <c r="L329" s="33">
        <v>0</v>
      </c>
      <c r="M329" s="57"/>
      <c r="N329" s="33">
        <f>62000-1000</f>
        <v>61000</v>
      </c>
      <c r="O329" s="57"/>
      <c r="P329" s="33">
        <v>61000</v>
      </c>
      <c r="Q329" s="57"/>
      <c r="R329" s="33">
        <v>100000</v>
      </c>
      <c r="S329" s="29">
        <f t="shared" si="13"/>
        <v>0</v>
      </c>
    </row>
    <row r="330" spans="1:19" x14ac:dyDescent="0.25">
      <c r="C330" s="30" t="s">
        <v>83</v>
      </c>
      <c r="D330" s="30"/>
      <c r="E330" s="34"/>
      <c r="G330" s="7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29">
        <f t="shared" si="13"/>
        <v>0</v>
      </c>
    </row>
    <row r="331" spans="1:19" x14ac:dyDescent="0.25">
      <c r="C331" s="29"/>
      <c r="D331" s="29"/>
      <c r="E331" s="34" t="s">
        <v>84</v>
      </c>
      <c r="F331" s="18">
        <f t="shared" ref="F331:F342" si="14">SUM(H331:L331)</f>
        <v>279000</v>
      </c>
      <c r="G331" s="35"/>
      <c r="H331" s="33">
        <v>-2000</v>
      </c>
      <c r="I331" s="57"/>
      <c r="J331" s="33">
        <f>18000-1000</f>
        <v>17000</v>
      </c>
      <c r="K331" s="57"/>
      <c r="L331" s="33">
        <v>264000</v>
      </c>
      <c r="M331" s="57"/>
      <c r="N331" s="33">
        <f>210000</f>
        <v>210000</v>
      </c>
      <c r="O331" s="57"/>
      <c r="P331" s="33">
        <v>94000</v>
      </c>
      <c r="Q331" s="57"/>
      <c r="R331" s="33">
        <v>25000</v>
      </c>
      <c r="S331" s="29">
        <f t="shared" si="13"/>
        <v>0</v>
      </c>
    </row>
    <row r="332" spans="1:19" x14ac:dyDescent="0.25">
      <c r="C332" s="30" t="s">
        <v>36</v>
      </c>
      <c r="D332" s="30"/>
      <c r="E332" s="34"/>
      <c r="F332" s="18">
        <f t="shared" si="14"/>
        <v>-34000</v>
      </c>
      <c r="G332" s="35"/>
      <c r="H332" s="33">
        <v>0</v>
      </c>
      <c r="I332" s="57"/>
      <c r="J332" s="33">
        <v>-34000</v>
      </c>
      <c r="K332" s="57"/>
      <c r="L332" s="33">
        <v>0</v>
      </c>
      <c r="M332" s="57"/>
      <c r="N332" s="33">
        <v>452000</v>
      </c>
      <c r="O332" s="57"/>
      <c r="P332" s="33">
        <v>234000</v>
      </c>
      <c r="Q332" s="57"/>
      <c r="R332" s="33">
        <v>720000</v>
      </c>
      <c r="S332" s="29">
        <f t="shared" si="13"/>
        <v>0</v>
      </c>
    </row>
    <row r="333" spans="1:19" x14ac:dyDescent="0.25">
      <c r="C333" s="30" t="s">
        <v>146</v>
      </c>
      <c r="D333" s="30"/>
      <c r="E333" s="34"/>
      <c r="F333" s="18">
        <f t="shared" si="14"/>
        <v>118000</v>
      </c>
      <c r="G333" s="35"/>
      <c r="H333" s="33">
        <v>117000</v>
      </c>
      <c r="I333" s="57"/>
      <c r="J333" s="33">
        <v>1000</v>
      </c>
      <c r="K333" s="57"/>
      <c r="L333" s="33">
        <v>0</v>
      </c>
      <c r="M333" s="57"/>
      <c r="N333" s="33">
        <v>75000</v>
      </c>
      <c r="O333" s="57"/>
      <c r="P333" s="33">
        <v>43000</v>
      </c>
      <c r="Q333" s="57"/>
      <c r="R333" s="33">
        <v>0</v>
      </c>
      <c r="S333" s="29">
        <f t="shared" si="13"/>
        <v>0</v>
      </c>
    </row>
    <row r="334" spans="1:19" x14ac:dyDescent="0.25">
      <c r="C334" s="30" t="s">
        <v>147</v>
      </c>
      <c r="D334" s="30"/>
      <c r="E334" s="34"/>
      <c r="F334" s="18">
        <f t="shared" si="14"/>
        <v>42000</v>
      </c>
      <c r="G334" s="35"/>
      <c r="H334" s="33">
        <v>1000</v>
      </c>
      <c r="I334" s="57"/>
      <c r="J334" s="33">
        <v>41000</v>
      </c>
      <c r="K334" s="57"/>
      <c r="L334" s="33">
        <v>0</v>
      </c>
      <c r="M334" s="57"/>
      <c r="N334" s="33">
        <v>48000</v>
      </c>
      <c r="O334" s="57"/>
      <c r="P334" s="33">
        <v>75000</v>
      </c>
      <c r="Q334" s="57"/>
      <c r="R334" s="33">
        <v>81000</v>
      </c>
      <c r="S334" s="29">
        <f t="shared" si="13"/>
        <v>0</v>
      </c>
    </row>
    <row r="335" spans="1:19" x14ac:dyDescent="0.25">
      <c r="C335" s="30" t="s">
        <v>101</v>
      </c>
      <c r="D335" s="30"/>
      <c r="E335" s="34"/>
      <c r="F335" s="18">
        <f t="shared" si="14"/>
        <v>94000</v>
      </c>
      <c r="G335" s="35"/>
      <c r="H335" s="33">
        <v>84000</v>
      </c>
      <c r="I335" s="57"/>
      <c r="J335" s="33">
        <v>10000</v>
      </c>
      <c r="K335" s="57"/>
      <c r="L335" s="33">
        <v>0</v>
      </c>
      <c r="M335" s="57"/>
      <c r="N335" s="33">
        <v>42000</v>
      </c>
      <c r="O335" s="57"/>
      <c r="P335" s="33">
        <v>52000</v>
      </c>
      <c r="Q335" s="57"/>
      <c r="R335" s="33">
        <v>0</v>
      </c>
      <c r="S335" s="29">
        <f t="shared" si="13"/>
        <v>0</v>
      </c>
    </row>
    <row r="336" spans="1:19" x14ac:dyDescent="0.25">
      <c r="C336" s="30" t="s">
        <v>141</v>
      </c>
      <c r="D336" s="30"/>
      <c r="E336" s="34"/>
      <c r="F336" s="18">
        <f t="shared" si="14"/>
        <v>46000</v>
      </c>
      <c r="G336" s="35"/>
      <c r="H336" s="33">
        <v>2000</v>
      </c>
      <c r="I336" s="57"/>
      <c r="J336" s="33">
        <v>43000</v>
      </c>
      <c r="K336" s="57"/>
      <c r="L336" s="33">
        <v>1000</v>
      </c>
      <c r="M336" s="57"/>
      <c r="N336" s="33">
        <v>78000</v>
      </c>
      <c r="O336" s="57"/>
      <c r="P336" s="33">
        <v>72000</v>
      </c>
      <c r="Q336" s="57"/>
      <c r="R336" s="33">
        <v>104000</v>
      </c>
      <c r="S336" s="29">
        <f t="shared" si="13"/>
        <v>0</v>
      </c>
    </row>
    <row r="337" spans="1:19" x14ac:dyDescent="0.25">
      <c r="C337" s="30" t="s">
        <v>111</v>
      </c>
      <c r="D337" s="30"/>
      <c r="E337" s="34"/>
      <c r="F337" s="18">
        <f t="shared" si="14"/>
        <v>26000</v>
      </c>
      <c r="G337" s="35"/>
      <c r="H337" s="33">
        <v>0</v>
      </c>
      <c r="I337" s="57"/>
      <c r="J337" s="33">
        <v>26000</v>
      </c>
      <c r="K337" s="57"/>
      <c r="L337" s="33">
        <v>0</v>
      </c>
      <c r="M337" s="57"/>
      <c r="N337" s="33">
        <v>3000</v>
      </c>
      <c r="O337" s="57"/>
      <c r="P337" s="33">
        <v>23000</v>
      </c>
      <c r="Q337" s="57"/>
      <c r="R337" s="33">
        <v>0</v>
      </c>
      <c r="S337" s="29">
        <f t="shared" si="13"/>
        <v>0</v>
      </c>
    </row>
    <row r="338" spans="1:19" x14ac:dyDescent="0.25">
      <c r="C338" s="30" t="s">
        <v>142</v>
      </c>
      <c r="D338" s="30"/>
      <c r="E338" s="34"/>
      <c r="F338" s="18">
        <f t="shared" si="14"/>
        <v>101000</v>
      </c>
      <c r="G338" s="35"/>
      <c r="H338" s="33">
        <v>101000</v>
      </c>
      <c r="I338" s="57"/>
      <c r="J338" s="33">
        <v>0</v>
      </c>
      <c r="K338" s="57"/>
      <c r="L338" s="33">
        <v>0</v>
      </c>
      <c r="M338" s="57"/>
      <c r="N338" s="33">
        <v>71000</v>
      </c>
      <c r="O338" s="57"/>
      <c r="P338" s="33">
        <v>30000</v>
      </c>
      <c r="Q338" s="57"/>
      <c r="R338" s="33">
        <v>0</v>
      </c>
      <c r="S338" s="29">
        <f t="shared" si="13"/>
        <v>0</v>
      </c>
    </row>
    <row r="339" spans="1:19" x14ac:dyDescent="0.25">
      <c r="C339" s="30" t="s">
        <v>148</v>
      </c>
      <c r="D339" s="30"/>
      <c r="E339" s="34"/>
      <c r="F339" s="18">
        <f t="shared" si="14"/>
        <v>542000</v>
      </c>
      <c r="G339" s="35"/>
      <c r="H339" s="33">
        <v>156000</v>
      </c>
      <c r="I339" s="57"/>
      <c r="J339" s="33">
        <v>345000</v>
      </c>
      <c r="K339" s="57"/>
      <c r="L339" s="33">
        <f>42000-1000</f>
        <v>41000</v>
      </c>
      <c r="M339" s="57"/>
      <c r="N339" s="33">
        <f>1659000+1000</f>
        <v>1660000</v>
      </c>
      <c r="O339" s="57"/>
      <c r="P339" s="33">
        <f>5050000-1000-1000</f>
        <v>5048000</v>
      </c>
      <c r="Q339" s="57"/>
      <c r="R339" s="33">
        <v>6166000</v>
      </c>
      <c r="S339" s="29">
        <f t="shared" si="13"/>
        <v>0</v>
      </c>
    </row>
    <row r="340" spans="1:19" x14ac:dyDescent="0.25">
      <c r="C340" s="30" t="s">
        <v>123</v>
      </c>
      <c r="D340" s="30"/>
      <c r="E340" s="34"/>
      <c r="F340" s="18">
        <f t="shared" si="14"/>
        <v>132000</v>
      </c>
      <c r="G340" s="35"/>
      <c r="H340" s="33">
        <v>0</v>
      </c>
      <c r="I340" s="57"/>
      <c r="J340" s="33">
        <v>132000</v>
      </c>
      <c r="K340" s="57"/>
      <c r="L340" s="33">
        <v>0</v>
      </c>
      <c r="M340" s="57"/>
      <c r="N340" s="33">
        <v>81000</v>
      </c>
      <c r="O340" s="57"/>
      <c r="P340" s="33">
        <v>51000</v>
      </c>
      <c r="Q340" s="57"/>
      <c r="R340" s="33">
        <v>0</v>
      </c>
      <c r="S340" s="29">
        <f t="shared" si="13"/>
        <v>0</v>
      </c>
    </row>
    <row r="341" spans="1:19" x14ac:dyDescent="0.25">
      <c r="C341" s="30" t="s">
        <v>133</v>
      </c>
      <c r="D341" s="30"/>
      <c r="E341" s="34"/>
      <c r="F341" s="18">
        <f t="shared" si="14"/>
        <v>126000</v>
      </c>
      <c r="G341" s="35"/>
      <c r="H341" s="33">
        <v>62000</v>
      </c>
      <c r="I341" s="57"/>
      <c r="J341" s="33">
        <v>64000</v>
      </c>
      <c r="K341" s="57"/>
      <c r="L341" s="33">
        <v>0</v>
      </c>
      <c r="M341" s="57"/>
      <c r="N341" s="33">
        <v>49000</v>
      </c>
      <c r="O341" s="57"/>
      <c r="P341" s="33">
        <v>84000</v>
      </c>
      <c r="Q341" s="57"/>
      <c r="R341" s="33">
        <v>7000</v>
      </c>
      <c r="S341" s="29">
        <f t="shared" si="13"/>
        <v>0</v>
      </c>
    </row>
    <row r="342" spans="1:19" x14ac:dyDescent="0.25">
      <c r="C342" s="30" t="s">
        <v>137</v>
      </c>
      <c r="D342" s="30"/>
      <c r="E342" s="34"/>
      <c r="F342" s="58">
        <f t="shared" si="14"/>
        <v>185000</v>
      </c>
      <c r="G342" s="7"/>
      <c r="H342" s="36">
        <v>185000</v>
      </c>
      <c r="I342" s="33"/>
      <c r="J342" s="36">
        <v>0</v>
      </c>
      <c r="K342" s="33"/>
      <c r="L342" s="36">
        <v>0</v>
      </c>
      <c r="M342" s="33"/>
      <c r="N342" s="36">
        <v>112000</v>
      </c>
      <c r="O342" s="33"/>
      <c r="P342" s="36">
        <v>73000</v>
      </c>
      <c r="Q342" s="33"/>
      <c r="R342" s="36">
        <v>0</v>
      </c>
      <c r="S342" s="29">
        <f t="shared" si="13"/>
        <v>0</v>
      </c>
    </row>
    <row r="343" spans="1:19" x14ac:dyDescent="0.25"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29">
        <f t="shared" si="13"/>
        <v>0</v>
      </c>
    </row>
    <row r="344" spans="1:19" x14ac:dyDescent="0.25">
      <c r="E344" s="30" t="s">
        <v>2</v>
      </c>
      <c r="F344" s="58">
        <f>SUM(H344:L344)</f>
        <v>1679000</v>
      </c>
      <c r="G344" s="7"/>
      <c r="H344" s="58">
        <f>SUM(H329:H343)</f>
        <v>714000</v>
      </c>
      <c r="I344" s="18"/>
      <c r="J344" s="58">
        <f>SUM(J329:J343)</f>
        <v>659000</v>
      </c>
      <c r="K344" s="18"/>
      <c r="L344" s="58">
        <f>SUM(L329:L343)</f>
        <v>306000</v>
      </c>
      <c r="M344" s="18"/>
      <c r="N344" s="58">
        <f>SUM(N329:N343)</f>
        <v>2942000</v>
      </c>
      <c r="O344" s="18"/>
      <c r="P344" s="58">
        <f>SUM(P329:P343)</f>
        <v>5940000</v>
      </c>
      <c r="Q344" s="18"/>
      <c r="R344" s="58">
        <f>SUM(R329:R343)</f>
        <v>7203000</v>
      </c>
      <c r="S344" s="29">
        <f t="shared" si="13"/>
        <v>0</v>
      </c>
    </row>
    <row r="345" spans="1:19" x14ac:dyDescent="0.25"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29">
        <f t="shared" si="13"/>
        <v>0</v>
      </c>
    </row>
    <row r="346" spans="1:19" x14ac:dyDescent="0.25">
      <c r="E346" s="30" t="s">
        <v>149</v>
      </c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29">
        <f t="shared" si="13"/>
        <v>0</v>
      </c>
    </row>
    <row r="347" spans="1:19" x14ac:dyDescent="0.25">
      <c r="E347" s="30" t="s">
        <v>150</v>
      </c>
      <c r="F347" s="58">
        <f>SUM(H347:L347)</f>
        <v>343327000</v>
      </c>
      <c r="G347" s="7"/>
      <c r="H347" s="58">
        <f>+H266+H314+H326+H344</f>
        <v>229214000</v>
      </c>
      <c r="I347" s="18"/>
      <c r="J347" s="58">
        <f>+J266+J314+J326+J344</f>
        <v>28095000</v>
      </c>
      <c r="K347" s="18"/>
      <c r="L347" s="58">
        <f>+L266+L314+L326+L344</f>
        <v>86018000</v>
      </c>
      <c r="M347" s="18"/>
      <c r="N347" s="58">
        <f>+N266+N314+N326+N344</f>
        <v>214203000</v>
      </c>
      <c r="O347" s="18"/>
      <c r="P347" s="58">
        <f>+P266+P314+P326+P344</f>
        <v>136784000</v>
      </c>
      <c r="Q347" s="18"/>
      <c r="R347" s="58">
        <f>+R266+R314+R326+R344</f>
        <v>7660000</v>
      </c>
      <c r="S347" s="29">
        <f t="shared" si="13"/>
        <v>0</v>
      </c>
    </row>
    <row r="348" spans="1:19" x14ac:dyDescent="0.25">
      <c r="E348" s="29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29">
        <f t="shared" si="13"/>
        <v>0</v>
      </c>
    </row>
    <row r="349" spans="1:19" x14ac:dyDescent="0.25">
      <c r="A349" s="22" t="s">
        <v>151</v>
      </c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29">
        <f t="shared" si="13"/>
        <v>0</v>
      </c>
    </row>
    <row r="350" spans="1:19" x14ac:dyDescent="0.25">
      <c r="A350" s="22"/>
      <c r="B350" s="22" t="s">
        <v>152</v>
      </c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29">
        <f t="shared" si="13"/>
        <v>0</v>
      </c>
    </row>
    <row r="351" spans="1:19" x14ac:dyDescent="0.25"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29">
        <f t="shared" si="13"/>
        <v>0</v>
      </c>
    </row>
    <row r="352" spans="1:19" x14ac:dyDescent="0.25">
      <c r="B352" s="38" t="s">
        <v>12</v>
      </c>
      <c r="F352" s="58">
        <f>SUM(H352:L352)</f>
        <v>6128000</v>
      </c>
      <c r="G352" s="7"/>
      <c r="H352" s="36">
        <v>3979000</v>
      </c>
      <c r="I352" s="33"/>
      <c r="J352" s="36">
        <v>1719000</v>
      </c>
      <c r="K352" s="33"/>
      <c r="L352" s="36">
        <v>430000</v>
      </c>
      <c r="M352" s="33"/>
      <c r="N352" s="36">
        <f>3700000-1000</f>
        <v>3699000</v>
      </c>
      <c r="O352" s="33"/>
      <c r="P352" s="36">
        <v>2429000</v>
      </c>
      <c r="Q352" s="33"/>
      <c r="R352" s="36">
        <v>0</v>
      </c>
      <c r="S352" s="29">
        <f t="shared" si="13"/>
        <v>0</v>
      </c>
    </row>
    <row r="353" spans="1:19" x14ac:dyDescent="0.25"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29">
        <f t="shared" si="13"/>
        <v>0</v>
      </c>
    </row>
    <row r="354" spans="1:19" x14ac:dyDescent="0.25">
      <c r="B354" s="38" t="s">
        <v>23</v>
      </c>
      <c r="F354" s="58">
        <f>SUM(H354:L354)</f>
        <v>1466000</v>
      </c>
      <c r="G354" s="7"/>
      <c r="H354" s="36">
        <v>7000</v>
      </c>
      <c r="I354" s="33"/>
      <c r="J354" s="36">
        <f>36000-1000</f>
        <v>35000</v>
      </c>
      <c r="K354" s="33"/>
      <c r="L354" s="36">
        <v>1424000</v>
      </c>
      <c r="M354" s="33"/>
      <c r="N354" s="36">
        <v>894000</v>
      </c>
      <c r="O354" s="33"/>
      <c r="P354" s="36">
        <v>572000</v>
      </c>
      <c r="Q354" s="33"/>
      <c r="R354" s="36">
        <v>0</v>
      </c>
      <c r="S354" s="29">
        <f t="shared" si="13"/>
        <v>0</v>
      </c>
    </row>
    <row r="355" spans="1:19" x14ac:dyDescent="0.25">
      <c r="G355" s="7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29">
        <f t="shared" si="13"/>
        <v>0</v>
      </c>
    </row>
    <row r="356" spans="1:19" x14ac:dyDescent="0.25">
      <c r="E356" s="30" t="s">
        <v>153</v>
      </c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29">
        <f t="shared" si="13"/>
        <v>0</v>
      </c>
    </row>
    <row r="357" spans="1:19" x14ac:dyDescent="0.25">
      <c r="E357" s="30" t="s">
        <v>154</v>
      </c>
      <c r="F357" s="58">
        <f>SUM(H357:L357)</f>
        <v>7594000</v>
      </c>
      <c r="G357" s="7"/>
      <c r="H357" s="58">
        <f>+H352+H354</f>
        <v>3986000</v>
      </c>
      <c r="I357" s="18"/>
      <c r="J357" s="58">
        <f>+J352+J354</f>
        <v>1754000</v>
      </c>
      <c r="K357" s="18"/>
      <c r="L357" s="58">
        <f>+L352+L354</f>
        <v>1854000</v>
      </c>
      <c r="M357" s="18"/>
      <c r="N357" s="58">
        <f>+N352+N354</f>
        <v>4593000</v>
      </c>
      <c r="O357" s="18"/>
      <c r="P357" s="58">
        <f>+P352+P354</f>
        <v>3001000</v>
      </c>
      <c r="Q357" s="18"/>
      <c r="R357" s="58">
        <f>+R352+R354</f>
        <v>0</v>
      </c>
      <c r="S357" s="29">
        <f t="shared" si="13"/>
        <v>0</v>
      </c>
    </row>
    <row r="358" spans="1:19" x14ac:dyDescent="0.25">
      <c r="G358" s="7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29">
        <f t="shared" si="13"/>
        <v>0</v>
      </c>
    </row>
    <row r="359" spans="1:19" x14ac:dyDescent="0.25">
      <c r="A359" s="22" t="s">
        <v>155</v>
      </c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29">
        <f t="shared" si="13"/>
        <v>0</v>
      </c>
    </row>
    <row r="360" spans="1:19" x14ac:dyDescent="0.25"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29">
        <f t="shared" si="13"/>
        <v>0</v>
      </c>
    </row>
    <row r="361" spans="1:19" x14ac:dyDescent="0.25">
      <c r="B361" s="38" t="s">
        <v>12</v>
      </c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29">
        <f t="shared" si="13"/>
        <v>0</v>
      </c>
    </row>
    <row r="362" spans="1:19" x14ac:dyDescent="0.25">
      <c r="C362" s="30" t="s">
        <v>13</v>
      </c>
      <c r="D362" s="30"/>
      <c r="E362" s="34"/>
      <c r="F362" s="18">
        <f>SUM(H362:L362)</f>
        <v>1969000</v>
      </c>
      <c r="G362" s="35"/>
      <c r="H362" s="33">
        <v>1955000</v>
      </c>
      <c r="I362" s="57"/>
      <c r="J362" s="33">
        <v>14000</v>
      </c>
      <c r="K362" s="57"/>
      <c r="L362" s="33">
        <v>0</v>
      </c>
      <c r="M362" s="57"/>
      <c r="N362" s="33">
        <v>1308000</v>
      </c>
      <c r="O362" s="57"/>
      <c r="P362" s="33">
        <f>662000-1000</f>
        <v>661000</v>
      </c>
      <c r="Q362" s="57"/>
      <c r="R362" s="33">
        <v>0</v>
      </c>
      <c r="S362" s="29">
        <f t="shared" si="13"/>
        <v>0</v>
      </c>
    </row>
    <row r="363" spans="1:19" x14ac:dyDescent="0.25">
      <c r="C363" s="30" t="s">
        <v>36</v>
      </c>
      <c r="D363" s="30"/>
      <c r="E363" s="34"/>
      <c r="F363" s="18">
        <f>SUM(H363:L363)</f>
        <v>4265000</v>
      </c>
      <c r="G363" s="35"/>
      <c r="H363" s="33">
        <v>3069000</v>
      </c>
      <c r="I363" s="57"/>
      <c r="J363" s="33">
        <v>619000</v>
      </c>
      <c r="K363" s="57"/>
      <c r="L363" s="33">
        <v>577000</v>
      </c>
      <c r="M363" s="57"/>
      <c r="N363" s="33">
        <v>2566000</v>
      </c>
      <c r="O363" s="57"/>
      <c r="P363" s="33">
        <v>1699000</v>
      </c>
      <c r="Q363" s="57"/>
      <c r="R363" s="33">
        <v>0</v>
      </c>
      <c r="S363" s="29">
        <f t="shared" si="13"/>
        <v>0</v>
      </c>
    </row>
    <row r="364" spans="1:19" x14ac:dyDescent="0.25">
      <c r="C364" s="30" t="s">
        <v>156</v>
      </c>
      <c r="D364" s="30"/>
      <c r="E364" s="34"/>
      <c r="F364" s="18">
        <f>SUM(H364:L364)</f>
        <v>1663000</v>
      </c>
      <c r="G364" s="35"/>
      <c r="H364" s="33">
        <v>1659000</v>
      </c>
      <c r="I364" s="57"/>
      <c r="J364" s="33">
        <v>4000</v>
      </c>
      <c r="K364" s="57"/>
      <c r="L364" s="33">
        <v>0</v>
      </c>
      <c r="M364" s="57"/>
      <c r="N364" s="33">
        <f>1208000-1000</f>
        <v>1207000</v>
      </c>
      <c r="O364" s="57"/>
      <c r="P364" s="33">
        <v>456000</v>
      </c>
      <c r="Q364" s="57"/>
      <c r="R364" s="33">
        <v>0</v>
      </c>
      <c r="S364" s="29">
        <f t="shared" si="13"/>
        <v>0</v>
      </c>
    </row>
    <row r="365" spans="1:19" x14ac:dyDescent="0.25">
      <c r="C365" s="30" t="s">
        <v>157</v>
      </c>
      <c r="D365" s="30"/>
      <c r="E365" s="34"/>
      <c r="G365" s="35"/>
      <c r="H365" s="33"/>
      <c r="I365" s="57"/>
      <c r="J365" s="33"/>
      <c r="K365" s="57"/>
      <c r="L365" s="33"/>
      <c r="M365" s="57"/>
      <c r="N365" s="33"/>
      <c r="O365" s="57"/>
      <c r="P365" s="33"/>
      <c r="Q365" s="57"/>
      <c r="R365" s="33"/>
      <c r="S365" s="29">
        <f t="shared" si="13"/>
        <v>0</v>
      </c>
    </row>
    <row r="366" spans="1:19" x14ac:dyDescent="0.25">
      <c r="C366" s="34"/>
      <c r="D366" s="34"/>
      <c r="E366" s="30" t="s">
        <v>158</v>
      </c>
      <c r="F366" s="18">
        <f t="shared" ref="F366:F372" si="15">SUM(H366:L366)</f>
        <v>2400000</v>
      </c>
      <c r="G366" s="35"/>
      <c r="H366" s="33">
        <f>2261000+1000</f>
        <v>2262000</v>
      </c>
      <c r="I366" s="57"/>
      <c r="J366" s="33">
        <f>132000-1000</f>
        <v>131000</v>
      </c>
      <c r="K366" s="57"/>
      <c r="L366" s="33">
        <v>7000</v>
      </c>
      <c r="M366" s="57"/>
      <c r="N366" s="33">
        <v>1232000</v>
      </c>
      <c r="O366" s="57"/>
      <c r="P366" s="33">
        <v>1168000</v>
      </c>
      <c r="Q366" s="57"/>
      <c r="R366" s="33">
        <v>0</v>
      </c>
      <c r="S366" s="29">
        <f t="shared" si="13"/>
        <v>0</v>
      </c>
    </row>
    <row r="367" spans="1:19" x14ac:dyDescent="0.25">
      <c r="C367" s="34" t="s">
        <v>24</v>
      </c>
      <c r="D367" s="34"/>
      <c r="F367" s="18">
        <f t="shared" si="15"/>
        <v>79000</v>
      </c>
      <c r="G367" s="35"/>
      <c r="H367" s="33">
        <v>0</v>
      </c>
      <c r="I367" s="57"/>
      <c r="J367" s="33">
        <v>52000</v>
      </c>
      <c r="K367" s="57"/>
      <c r="L367" s="33">
        <v>27000</v>
      </c>
      <c r="M367" s="57"/>
      <c r="N367" s="33">
        <v>96000</v>
      </c>
      <c r="O367" s="57"/>
      <c r="P367" s="33">
        <v>97000</v>
      </c>
      <c r="Q367" s="57"/>
      <c r="R367" s="33">
        <v>114000</v>
      </c>
      <c r="S367" s="29">
        <f t="shared" si="13"/>
        <v>0</v>
      </c>
    </row>
    <row r="368" spans="1:19" x14ac:dyDescent="0.25">
      <c r="C368" s="34" t="s">
        <v>16</v>
      </c>
      <c r="D368" s="34"/>
      <c r="F368" s="18">
        <f t="shared" si="15"/>
        <v>879000</v>
      </c>
      <c r="G368" s="35"/>
      <c r="H368" s="33">
        <v>875000</v>
      </c>
      <c r="I368" s="57"/>
      <c r="J368" s="33">
        <v>3000</v>
      </c>
      <c r="K368" s="57"/>
      <c r="L368" s="33">
        <v>1000</v>
      </c>
      <c r="M368" s="57"/>
      <c r="N368" s="33">
        <v>640000</v>
      </c>
      <c r="O368" s="57"/>
      <c r="P368" s="33">
        <v>239000</v>
      </c>
      <c r="Q368" s="57"/>
      <c r="R368" s="33">
        <v>0</v>
      </c>
      <c r="S368" s="29">
        <f t="shared" si="13"/>
        <v>0</v>
      </c>
    </row>
    <row r="369" spans="1:19" x14ac:dyDescent="0.25">
      <c r="C369" s="34" t="s">
        <v>17</v>
      </c>
      <c r="D369" s="34"/>
      <c r="F369" s="18">
        <f t="shared" si="15"/>
        <v>467000</v>
      </c>
      <c r="G369" s="35"/>
      <c r="H369" s="33">
        <v>467000</v>
      </c>
      <c r="I369" s="57"/>
      <c r="J369" s="33">
        <v>0</v>
      </c>
      <c r="K369" s="57"/>
      <c r="L369" s="33">
        <v>0</v>
      </c>
      <c r="M369" s="57"/>
      <c r="N369" s="33">
        <f>342000+1000</f>
        <v>343000</v>
      </c>
      <c r="O369" s="57"/>
      <c r="P369" s="33">
        <v>124000</v>
      </c>
      <c r="Q369" s="57"/>
      <c r="R369" s="33">
        <v>0</v>
      </c>
      <c r="S369" s="29">
        <f t="shared" si="13"/>
        <v>0</v>
      </c>
    </row>
    <row r="370" spans="1:19" x14ac:dyDescent="0.25">
      <c r="C370" s="30" t="s">
        <v>159</v>
      </c>
      <c r="D370" s="30"/>
      <c r="E370" s="34"/>
      <c r="F370" s="18">
        <f t="shared" si="15"/>
        <v>1917000</v>
      </c>
      <c r="G370" s="35"/>
      <c r="H370" s="33">
        <f>1881000-1000</f>
        <v>1880000</v>
      </c>
      <c r="I370" s="57"/>
      <c r="J370" s="33">
        <v>23000</v>
      </c>
      <c r="K370" s="57"/>
      <c r="L370" s="33">
        <v>14000</v>
      </c>
      <c r="M370" s="57"/>
      <c r="N370" s="33">
        <v>1181000</v>
      </c>
      <c r="O370" s="57"/>
      <c r="P370" s="33">
        <v>736000</v>
      </c>
      <c r="Q370" s="57"/>
      <c r="R370" s="33">
        <v>0</v>
      </c>
      <c r="S370" s="29">
        <f t="shared" si="13"/>
        <v>0</v>
      </c>
    </row>
    <row r="371" spans="1:19" x14ac:dyDescent="0.25">
      <c r="C371" s="34" t="s">
        <v>160</v>
      </c>
      <c r="D371" s="34"/>
      <c r="F371" s="18">
        <f t="shared" si="15"/>
        <v>1750000</v>
      </c>
      <c r="G371" s="35"/>
      <c r="H371" s="33">
        <v>1724000</v>
      </c>
      <c r="I371" s="57"/>
      <c r="J371" s="33">
        <v>0</v>
      </c>
      <c r="K371" s="57"/>
      <c r="L371" s="33">
        <v>26000</v>
      </c>
      <c r="M371" s="57"/>
      <c r="N371" s="33">
        <v>1045000</v>
      </c>
      <c r="O371" s="57"/>
      <c r="P371" s="33">
        <v>705000</v>
      </c>
      <c r="Q371" s="57"/>
      <c r="R371" s="33">
        <v>0</v>
      </c>
      <c r="S371" s="29">
        <f t="shared" si="13"/>
        <v>0</v>
      </c>
    </row>
    <row r="372" spans="1:19" x14ac:dyDescent="0.25">
      <c r="C372" s="30" t="s">
        <v>161</v>
      </c>
      <c r="D372" s="30"/>
      <c r="E372" s="34"/>
      <c r="F372" s="18">
        <f t="shared" si="15"/>
        <v>3000</v>
      </c>
      <c r="G372" s="35"/>
      <c r="H372" s="33">
        <v>1000</v>
      </c>
      <c r="I372" s="57"/>
      <c r="J372" s="33">
        <v>0</v>
      </c>
      <c r="K372" s="57"/>
      <c r="L372" s="33">
        <v>2000</v>
      </c>
      <c r="M372" s="57"/>
      <c r="N372" s="33">
        <v>0</v>
      </c>
      <c r="O372" s="57"/>
      <c r="P372" s="33">
        <v>3000</v>
      </c>
      <c r="Q372" s="57"/>
      <c r="R372" s="33">
        <v>0</v>
      </c>
      <c r="S372" s="29">
        <f t="shared" si="13"/>
        <v>0</v>
      </c>
    </row>
    <row r="373" spans="1:19" x14ac:dyDescent="0.25">
      <c r="C373" s="30" t="s">
        <v>20</v>
      </c>
      <c r="D373" s="30"/>
      <c r="G373" s="35"/>
      <c r="H373" s="33"/>
      <c r="I373" s="57"/>
      <c r="J373" s="33"/>
      <c r="K373" s="57"/>
      <c r="L373" s="33"/>
      <c r="M373" s="57"/>
      <c r="N373" s="33"/>
      <c r="O373" s="57"/>
      <c r="P373" s="33"/>
      <c r="Q373" s="57"/>
      <c r="R373" s="33"/>
      <c r="S373" s="29">
        <f t="shared" si="13"/>
        <v>0</v>
      </c>
    </row>
    <row r="374" spans="1:19" x14ac:dyDescent="0.25">
      <c r="C374" s="29"/>
      <c r="D374" s="29"/>
      <c r="E374" s="34" t="s">
        <v>22</v>
      </c>
      <c r="F374" s="18">
        <f>SUM(H374:L374)</f>
        <v>725000</v>
      </c>
      <c r="G374" s="35"/>
      <c r="H374" s="33">
        <v>725000</v>
      </c>
      <c r="I374" s="57"/>
      <c r="J374" s="33">
        <v>0</v>
      </c>
      <c r="K374" s="57"/>
      <c r="L374" s="33">
        <v>0</v>
      </c>
      <c r="M374" s="57"/>
      <c r="N374" s="33">
        <f>529000+1000</f>
        <v>530000</v>
      </c>
      <c r="O374" s="57"/>
      <c r="P374" s="33">
        <v>195000</v>
      </c>
      <c r="Q374" s="57"/>
      <c r="R374" s="33">
        <v>0</v>
      </c>
      <c r="S374" s="29">
        <f t="shared" si="13"/>
        <v>0</v>
      </c>
    </row>
    <row r="375" spans="1:19" x14ac:dyDescent="0.25">
      <c r="C375" s="29" t="s">
        <v>162</v>
      </c>
      <c r="D375" s="29"/>
      <c r="E375" s="34"/>
      <c r="F375" s="58">
        <f>SUM(H375:L375)</f>
        <v>-2000</v>
      </c>
      <c r="G375" s="7"/>
      <c r="H375" s="36">
        <v>0</v>
      </c>
      <c r="I375" s="33"/>
      <c r="J375" s="36">
        <v>0</v>
      </c>
      <c r="K375" s="33"/>
      <c r="L375" s="36">
        <v>-2000</v>
      </c>
      <c r="M375" s="33"/>
      <c r="N375" s="36">
        <v>0</v>
      </c>
      <c r="O375" s="33"/>
      <c r="P375" s="36">
        <v>-2000</v>
      </c>
      <c r="Q375" s="33"/>
      <c r="R375" s="36">
        <v>0</v>
      </c>
      <c r="S375" s="29">
        <f t="shared" si="13"/>
        <v>0</v>
      </c>
    </row>
    <row r="376" spans="1:19" x14ac:dyDescent="0.25"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29">
        <f t="shared" si="13"/>
        <v>0</v>
      </c>
    </row>
    <row r="377" spans="1:19" x14ac:dyDescent="0.25">
      <c r="E377" s="30" t="s">
        <v>2</v>
      </c>
      <c r="F377" s="58">
        <f>SUM(H377:L377)</f>
        <v>16115000</v>
      </c>
      <c r="G377" s="7"/>
      <c r="H377" s="58">
        <f>SUM(H362:H376)</f>
        <v>14617000</v>
      </c>
      <c r="I377" s="18"/>
      <c r="J377" s="58">
        <f>SUM(J362:J376)</f>
        <v>846000</v>
      </c>
      <c r="K377" s="18"/>
      <c r="L377" s="58">
        <f>SUM(L362:L376)</f>
        <v>652000</v>
      </c>
      <c r="M377" s="18"/>
      <c r="N377" s="58">
        <f>SUM(N362:N376)</f>
        <v>10148000</v>
      </c>
      <c r="O377" s="18"/>
      <c r="P377" s="58">
        <f>SUM(P362:P376)</f>
        <v>6081000</v>
      </c>
      <c r="Q377" s="18"/>
      <c r="R377" s="58">
        <f>SUM(R362:R376)</f>
        <v>114000</v>
      </c>
      <c r="S377" s="29">
        <f t="shared" si="13"/>
        <v>0</v>
      </c>
    </row>
    <row r="378" spans="1:19" x14ac:dyDescent="0.25">
      <c r="A378" s="46"/>
      <c r="B378" s="46"/>
      <c r="C378" s="46"/>
      <c r="D378" s="46"/>
      <c r="E378" s="4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29">
        <f t="shared" si="13"/>
        <v>0</v>
      </c>
    </row>
    <row r="379" spans="1:19" x14ac:dyDescent="0.25">
      <c r="B379" s="38" t="s">
        <v>23</v>
      </c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29">
        <f t="shared" si="13"/>
        <v>0</v>
      </c>
    </row>
    <row r="380" spans="1:19" x14ac:dyDescent="0.25">
      <c r="C380" s="30" t="s">
        <v>36</v>
      </c>
      <c r="D380" s="30"/>
      <c r="E380" s="34"/>
      <c r="F380" s="18">
        <f>SUM(H380:L380)</f>
        <v>1684000</v>
      </c>
      <c r="G380" s="35"/>
      <c r="H380" s="33">
        <v>1586000</v>
      </c>
      <c r="I380" s="57"/>
      <c r="J380" s="33">
        <v>118000</v>
      </c>
      <c r="K380" s="57"/>
      <c r="L380" s="33">
        <v>-20000</v>
      </c>
      <c r="M380" s="57"/>
      <c r="N380" s="33">
        <v>1066000</v>
      </c>
      <c r="O380" s="57"/>
      <c r="P380" s="33">
        <v>618000</v>
      </c>
      <c r="Q380" s="57"/>
      <c r="R380" s="33">
        <v>0</v>
      </c>
      <c r="S380" s="29">
        <f t="shared" si="13"/>
        <v>0</v>
      </c>
    </row>
    <row r="381" spans="1:19" x14ac:dyDescent="0.25">
      <c r="C381" s="30" t="s">
        <v>156</v>
      </c>
      <c r="D381" s="30"/>
      <c r="E381" s="34"/>
      <c r="F381" s="18">
        <f>SUM(H381:L381)</f>
        <v>122000</v>
      </c>
      <c r="G381" s="35"/>
      <c r="H381" s="33">
        <v>0</v>
      </c>
      <c r="I381" s="57"/>
      <c r="J381" s="33">
        <v>0</v>
      </c>
      <c r="K381" s="57"/>
      <c r="L381" s="33">
        <v>122000</v>
      </c>
      <c r="M381" s="57"/>
      <c r="N381" s="33">
        <v>60000</v>
      </c>
      <c r="O381" s="57"/>
      <c r="P381" s="33">
        <f>63000-1000</f>
        <v>62000</v>
      </c>
      <c r="Q381" s="57"/>
      <c r="R381" s="33">
        <v>0</v>
      </c>
      <c r="S381" s="29">
        <f t="shared" si="13"/>
        <v>0</v>
      </c>
    </row>
    <row r="382" spans="1:19" x14ac:dyDescent="0.25">
      <c r="C382" s="30" t="s">
        <v>157</v>
      </c>
      <c r="D382" s="30"/>
      <c r="E382" s="34"/>
      <c r="G382" s="35"/>
      <c r="H382" s="33"/>
      <c r="I382" s="57"/>
      <c r="J382" s="33"/>
      <c r="K382" s="57"/>
      <c r="L382" s="33"/>
      <c r="M382" s="57"/>
      <c r="N382" s="33"/>
      <c r="O382" s="57"/>
      <c r="P382" s="33"/>
      <c r="Q382" s="57"/>
      <c r="R382" s="33"/>
      <c r="S382" s="29">
        <f t="shared" si="13"/>
        <v>0</v>
      </c>
    </row>
    <row r="383" spans="1:19" x14ac:dyDescent="0.25">
      <c r="C383" s="34"/>
      <c r="D383" s="34"/>
      <c r="E383" s="30" t="s">
        <v>158</v>
      </c>
      <c r="F383" s="18">
        <f>SUM(H383:L383)</f>
        <v>119000</v>
      </c>
      <c r="G383" s="35"/>
      <c r="H383" s="33">
        <v>113000</v>
      </c>
      <c r="I383" s="57"/>
      <c r="J383" s="33">
        <v>11000</v>
      </c>
      <c r="K383" s="57"/>
      <c r="L383" s="33">
        <v>-5000</v>
      </c>
      <c r="M383" s="57"/>
      <c r="N383" s="33">
        <v>34000</v>
      </c>
      <c r="O383" s="57"/>
      <c r="P383" s="33">
        <v>85000</v>
      </c>
      <c r="Q383" s="57"/>
      <c r="R383" s="33">
        <v>0</v>
      </c>
      <c r="S383" s="29">
        <f t="shared" si="13"/>
        <v>0</v>
      </c>
    </row>
    <row r="384" spans="1:19" x14ac:dyDescent="0.25">
      <c r="C384" s="34" t="s">
        <v>16</v>
      </c>
      <c r="D384" s="34"/>
      <c r="F384" s="18">
        <f>SUM(H384:L384)</f>
        <v>12000</v>
      </c>
      <c r="G384" s="35"/>
      <c r="H384" s="33">
        <v>0</v>
      </c>
      <c r="I384" s="57"/>
      <c r="J384" s="33">
        <v>0</v>
      </c>
      <c r="K384" s="57"/>
      <c r="L384" s="33">
        <v>12000</v>
      </c>
      <c r="M384" s="57"/>
      <c r="N384" s="33">
        <v>0</v>
      </c>
      <c r="O384" s="57"/>
      <c r="P384" s="33">
        <v>12000</v>
      </c>
      <c r="Q384" s="57"/>
      <c r="R384" s="33">
        <v>0</v>
      </c>
      <c r="S384" s="29">
        <f t="shared" si="13"/>
        <v>0</v>
      </c>
    </row>
    <row r="385" spans="1:19" x14ac:dyDescent="0.25">
      <c r="C385" s="34" t="s">
        <v>159</v>
      </c>
      <c r="D385" s="34"/>
      <c r="F385" s="18">
        <f>SUM(H385:L385)</f>
        <v>1000</v>
      </c>
      <c r="G385" s="35"/>
      <c r="H385" s="33">
        <v>0</v>
      </c>
      <c r="I385" s="57"/>
      <c r="J385" s="33">
        <v>0</v>
      </c>
      <c r="K385" s="57"/>
      <c r="L385" s="33">
        <v>1000</v>
      </c>
      <c r="M385" s="57"/>
      <c r="N385" s="33">
        <v>0</v>
      </c>
      <c r="O385" s="57"/>
      <c r="P385" s="33">
        <v>1000</v>
      </c>
      <c r="Q385" s="57"/>
      <c r="R385" s="33">
        <v>0</v>
      </c>
      <c r="S385" s="29">
        <f t="shared" si="13"/>
        <v>0</v>
      </c>
    </row>
    <row r="386" spans="1:19" x14ac:dyDescent="0.25">
      <c r="C386" s="34" t="s">
        <v>160</v>
      </c>
      <c r="D386" s="34"/>
      <c r="F386" s="18">
        <f>SUM(H386:L386)</f>
        <v>866000</v>
      </c>
      <c r="G386" s="35"/>
      <c r="H386" s="33">
        <v>694000</v>
      </c>
      <c r="I386" s="57"/>
      <c r="J386" s="33">
        <v>111000</v>
      </c>
      <c r="K386" s="57"/>
      <c r="L386" s="33">
        <v>61000</v>
      </c>
      <c r="M386" s="57"/>
      <c r="N386" s="33">
        <f>394000-1000</f>
        <v>393000</v>
      </c>
      <c r="O386" s="57"/>
      <c r="P386" s="33">
        <v>473000</v>
      </c>
      <c r="Q386" s="57"/>
      <c r="R386" s="33">
        <v>0</v>
      </c>
      <c r="S386" s="29">
        <f t="shared" ref="S386:S447" si="16">+F386-N386-P386+R386</f>
        <v>0</v>
      </c>
    </row>
    <row r="387" spans="1:19" x14ac:dyDescent="0.25">
      <c r="C387" s="30" t="s">
        <v>161</v>
      </c>
      <c r="D387" s="30"/>
      <c r="E387" s="34"/>
      <c r="F387" s="58">
        <f>SUM(H387:L387)</f>
        <v>1677000</v>
      </c>
      <c r="G387" s="7"/>
      <c r="H387" s="36">
        <v>1000</v>
      </c>
      <c r="I387" s="33"/>
      <c r="J387" s="36">
        <v>1000</v>
      </c>
      <c r="K387" s="33"/>
      <c r="L387" s="36">
        <v>1675000</v>
      </c>
      <c r="M387" s="33"/>
      <c r="N387" s="36">
        <f>1068000-1000</f>
        <v>1067000</v>
      </c>
      <c r="O387" s="33"/>
      <c r="P387" s="36">
        <f>608000+2000</f>
        <v>610000</v>
      </c>
      <c r="Q387" s="33"/>
      <c r="R387" s="36">
        <v>0</v>
      </c>
      <c r="S387" s="29">
        <f t="shared" si="16"/>
        <v>0</v>
      </c>
    </row>
    <row r="388" spans="1:19" x14ac:dyDescent="0.25"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29">
        <f t="shared" si="16"/>
        <v>0</v>
      </c>
    </row>
    <row r="389" spans="1:19" x14ac:dyDescent="0.25">
      <c r="E389" s="30" t="s">
        <v>2</v>
      </c>
      <c r="F389" s="58">
        <f>SUM(H389:L389)</f>
        <v>4481000</v>
      </c>
      <c r="G389" s="7"/>
      <c r="H389" s="58">
        <f>SUM(H380:H388)</f>
        <v>2394000</v>
      </c>
      <c r="I389" s="18"/>
      <c r="J389" s="58">
        <f>SUM(J380:J388)</f>
        <v>241000</v>
      </c>
      <c r="K389" s="18"/>
      <c r="L389" s="58">
        <f>SUM(L380:L388)</f>
        <v>1846000</v>
      </c>
      <c r="M389" s="18"/>
      <c r="N389" s="58">
        <f>SUM(N380:N388)</f>
        <v>2620000</v>
      </c>
      <c r="O389" s="18"/>
      <c r="P389" s="58">
        <f>SUM(P380:P388)</f>
        <v>1861000</v>
      </c>
      <c r="Q389" s="18"/>
      <c r="R389" s="58">
        <f>SUM(R380:R388)</f>
        <v>0</v>
      </c>
      <c r="S389" s="29">
        <f t="shared" si="16"/>
        <v>0</v>
      </c>
    </row>
    <row r="390" spans="1:19" x14ac:dyDescent="0.25">
      <c r="A390" s="46"/>
      <c r="B390" s="46"/>
      <c r="C390" s="46"/>
      <c r="D390" s="46"/>
      <c r="E390" s="4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29">
        <f t="shared" si="16"/>
        <v>0</v>
      </c>
    </row>
    <row r="391" spans="1:19" x14ac:dyDescent="0.25">
      <c r="A391" s="46"/>
      <c r="B391" s="38" t="s">
        <v>25</v>
      </c>
      <c r="C391" s="46"/>
      <c r="D391" s="46"/>
      <c r="F391" s="58">
        <f>SUM(H391:L391)</f>
        <v>5000</v>
      </c>
      <c r="G391" s="7"/>
      <c r="H391" s="36">
        <v>0</v>
      </c>
      <c r="I391" s="33"/>
      <c r="J391" s="36">
        <v>0</v>
      </c>
      <c r="K391" s="33"/>
      <c r="L391" s="36">
        <v>5000</v>
      </c>
      <c r="M391" s="33"/>
      <c r="N391" s="36">
        <v>4000</v>
      </c>
      <c r="O391" s="33"/>
      <c r="P391" s="36">
        <f>2000-1000</f>
        <v>1000</v>
      </c>
      <c r="Q391" s="33"/>
      <c r="R391" s="36">
        <v>0</v>
      </c>
      <c r="S391" s="29">
        <f t="shared" si="16"/>
        <v>0</v>
      </c>
    </row>
    <row r="392" spans="1:19" x14ac:dyDescent="0.25">
      <c r="A392" s="46"/>
      <c r="C392" s="46"/>
      <c r="D392" s="46"/>
      <c r="G392" s="7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29">
        <f t="shared" si="16"/>
        <v>0</v>
      </c>
    </row>
    <row r="393" spans="1:19" x14ac:dyDescent="0.25">
      <c r="E393" s="30" t="s">
        <v>163</v>
      </c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29">
        <f t="shared" si="16"/>
        <v>0</v>
      </c>
    </row>
    <row r="394" spans="1:19" x14ac:dyDescent="0.25">
      <c r="E394" s="30" t="s">
        <v>164</v>
      </c>
      <c r="F394" s="58">
        <f>SUM(H394:L394)</f>
        <v>20601000</v>
      </c>
      <c r="G394" s="7"/>
      <c r="H394" s="58">
        <f>H377+H389+H391</f>
        <v>17011000</v>
      </c>
      <c r="I394" s="18"/>
      <c r="J394" s="58">
        <f>J377+J389+J391</f>
        <v>1087000</v>
      </c>
      <c r="K394" s="18"/>
      <c r="L394" s="58">
        <f>L377+L389+L391</f>
        <v>2503000</v>
      </c>
      <c r="M394" s="18"/>
      <c r="N394" s="58">
        <f>N377+N389+N391</f>
        <v>12772000</v>
      </c>
      <c r="O394" s="18"/>
      <c r="P394" s="58">
        <f>P377+P389+P391</f>
        <v>7943000</v>
      </c>
      <c r="Q394" s="18"/>
      <c r="R394" s="58">
        <f>R377+R389+R391</f>
        <v>114000</v>
      </c>
      <c r="S394" s="29">
        <f t="shared" si="16"/>
        <v>0</v>
      </c>
    </row>
    <row r="395" spans="1:19" x14ac:dyDescent="0.25">
      <c r="A395" s="46"/>
      <c r="B395" s="46"/>
      <c r="C395" s="46"/>
      <c r="D395" s="46"/>
      <c r="E395" s="46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29">
        <f t="shared" si="16"/>
        <v>0</v>
      </c>
    </row>
    <row r="396" spans="1:19" x14ac:dyDescent="0.25">
      <c r="A396" s="22" t="s">
        <v>165</v>
      </c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29">
        <f t="shared" si="16"/>
        <v>0</v>
      </c>
    </row>
    <row r="397" spans="1:19" x14ac:dyDescent="0.25">
      <c r="A397" s="46"/>
      <c r="B397" s="46"/>
      <c r="C397" s="46"/>
      <c r="D397" s="46"/>
      <c r="E397" s="4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29">
        <f t="shared" si="16"/>
        <v>0</v>
      </c>
    </row>
    <row r="398" spans="1:19" x14ac:dyDescent="0.25">
      <c r="A398" s="46"/>
      <c r="B398" s="38" t="s">
        <v>12</v>
      </c>
      <c r="C398" s="46"/>
      <c r="D398" s="46"/>
      <c r="F398" s="58">
        <f>SUM(H398:L398)</f>
        <v>9351000</v>
      </c>
      <c r="G398" s="7"/>
      <c r="H398" s="36">
        <v>4700000</v>
      </c>
      <c r="I398" s="33"/>
      <c r="J398" s="36">
        <v>3305000</v>
      </c>
      <c r="K398" s="33"/>
      <c r="L398" s="36">
        <v>1346000</v>
      </c>
      <c r="M398" s="33"/>
      <c r="N398" s="36">
        <v>6026000</v>
      </c>
      <c r="O398" s="33"/>
      <c r="P398" s="36">
        <v>3325000</v>
      </c>
      <c r="Q398" s="33"/>
      <c r="R398" s="36">
        <v>0</v>
      </c>
      <c r="S398" s="29">
        <f t="shared" si="16"/>
        <v>0</v>
      </c>
    </row>
    <row r="399" spans="1:19" x14ac:dyDescent="0.25">
      <c r="G399" s="7"/>
      <c r="H399" s="18"/>
      <c r="I399" s="33"/>
      <c r="J399" s="18"/>
      <c r="K399" s="33"/>
      <c r="L399" s="18"/>
      <c r="M399" s="33"/>
      <c r="N399" s="18"/>
      <c r="O399" s="33"/>
      <c r="P399" s="18"/>
      <c r="Q399" s="33"/>
      <c r="R399" s="18"/>
      <c r="S399" s="29">
        <f t="shared" si="16"/>
        <v>0</v>
      </c>
    </row>
    <row r="400" spans="1:19" x14ac:dyDescent="0.25">
      <c r="B400" s="38" t="s">
        <v>23</v>
      </c>
      <c r="F400" s="58">
        <f>SUM(H400:L400)</f>
        <v>7083000</v>
      </c>
      <c r="G400" s="7"/>
      <c r="H400" s="36">
        <v>101000</v>
      </c>
      <c r="I400" s="33"/>
      <c r="J400" s="36">
        <v>184000</v>
      </c>
      <c r="K400" s="33"/>
      <c r="L400" s="36">
        <v>6798000</v>
      </c>
      <c r="M400" s="33"/>
      <c r="N400" s="36">
        <v>3759000</v>
      </c>
      <c r="O400" s="33"/>
      <c r="P400" s="36">
        <v>3741000</v>
      </c>
      <c r="Q400" s="33"/>
      <c r="R400" s="36">
        <v>417000</v>
      </c>
      <c r="S400" s="29">
        <f t="shared" si="16"/>
        <v>0</v>
      </c>
    </row>
    <row r="401" spans="1:19" x14ac:dyDescent="0.25">
      <c r="A401" s="46"/>
      <c r="B401" s="46"/>
      <c r="C401" s="46"/>
      <c r="D401" s="46"/>
      <c r="E401" s="46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29">
        <f t="shared" si="16"/>
        <v>0</v>
      </c>
    </row>
    <row r="402" spans="1:19" x14ac:dyDescent="0.25">
      <c r="A402" s="46"/>
      <c r="B402" s="38" t="s">
        <v>30</v>
      </c>
      <c r="C402" s="46"/>
      <c r="D402" s="46"/>
      <c r="F402" s="58">
        <f>SUM(H402:L402)</f>
        <v>11291000</v>
      </c>
      <c r="G402" s="7"/>
      <c r="H402" s="36">
        <v>366000</v>
      </c>
      <c r="I402" s="33"/>
      <c r="J402" s="36">
        <v>10685000</v>
      </c>
      <c r="K402" s="33"/>
      <c r="L402" s="36">
        <f>241000-1000</f>
        <v>240000</v>
      </c>
      <c r="M402" s="33"/>
      <c r="N402" s="36">
        <v>5327000</v>
      </c>
      <c r="O402" s="33"/>
      <c r="P402" s="36">
        <v>5964000</v>
      </c>
      <c r="Q402" s="33"/>
      <c r="R402" s="36">
        <v>0</v>
      </c>
      <c r="S402" s="29">
        <f t="shared" si="16"/>
        <v>0</v>
      </c>
    </row>
    <row r="403" spans="1:19" x14ac:dyDescent="0.25">
      <c r="A403" s="46"/>
      <c r="C403" s="46"/>
      <c r="D403" s="46"/>
      <c r="E403" s="46"/>
      <c r="G403" s="7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29">
        <f t="shared" si="16"/>
        <v>0</v>
      </c>
    </row>
    <row r="404" spans="1:19" x14ac:dyDescent="0.25">
      <c r="E404" s="30" t="s">
        <v>166</v>
      </c>
      <c r="F404" s="58">
        <f>SUM(H404:L404)</f>
        <v>27725000</v>
      </c>
      <c r="G404" s="50"/>
      <c r="H404" s="58">
        <f>H398+H400+H402</f>
        <v>5167000</v>
      </c>
      <c r="I404" s="58"/>
      <c r="J404" s="58">
        <f>J398+J400+J402</f>
        <v>14174000</v>
      </c>
      <c r="K404" s="58"/>
      <c r="L404" s="58">
        <f>L398+L400+L402</f>
        <v>8384000</v>
      </c>
      <c r="M404" s="58"/>
      <c r="N404" s="58">
        <f>N398+N400+N402</f>
        <v>15112000</v>
      </c>
      <c r="O404" s="58"/>
      <c r="P404" s="58">
        <f>P398+P400+P402</f>
        <v>13030000</v>
      </c>
      <c r="Q404" s="58"/>
      <c r="R404" s="58">
        <f>R398+R400+R402</f>
        <v>417000</v>
      </c>
      <c r="S404" s="29">
        <f t="shared" si="16"/>
        <v>0</v>
      </c>
    </row>
    <row r="405" spans="1:19" x14ac:dyDescent="0.25">
      <c r="A405" s="46"/>
      <c r="B405" s="46"/>
      <c r="C405" s="46"/>
      <c r="D405" s="46"/>
      <c r="E405" s="4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29">
        <f t="shared" si="16"/>
        <v>0</v>
      </c>
    </row>
    <row r="406" spans="1:19" x14ac:dyDescent="0.25">
      <c r="A406" s="22" t="s">
        <v>167</v>
      </c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29">
        <f t="shared" si="16"/>
        <v>0</v>
      </c>
    </row>
    <row r="407" spans="1:19" x14ac:dyDescent="0.25">
      <c r="A407" s="46"/>
      <c r="B407" s="46"/>
      <c r="C407" s="46"/>
      <c r="D407" s="46"/>
      <c r="E407" s="4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29">
        <f t="shared" si="16"/>
        <v>0</v>
      </c>
    </row>
    <row r="408" spans="1:19" x14ac:dyDescent="0.25">
      <c r="B408" s="38" t="s">
        <v>12</v>
      </c>
      <c r="F408" s="58">
        <f>SUM(H408:L408)</f>
        <v>24251000</v>
      </c>
      <c r="G408" s="7"/>
      <c r="H408" s="36">
        <v>16182000</v>
      </c>
      <c r="I408" s="33"/>
      <c r="J408" s="36">
        <v>5414000</v>
      </c>
      <c r="K408" s="33"/>
      <c r="L408" s="36">
        <v>2655000</v>
      </c>
      <c r="M408" s="33"/>
      <c r="N408" s="36">
        <v>16484000</v>
      </c>
      <c r="O408" s="33"/>
      <c r="P408" s="36">
        <v>7767000</v>
      </c>
      <c r="Q408" s="33"/>
      <c r="R408" s="36">
        <v>0</v>
      </c>
      <c r="S408" s="29">
        <f t="shared" si="16"/>
        <v>0</v>
      </c>
    </row>
    <row r="409" spans="1:19" x14ac:dyDescent="0.25">
      <c r="B409" s="46"/>
      <c r="C409" s="46"/>
      <c r="D409" s="46"/>
      <c r="E409" s="4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29">
        <f t="shared" si="16"/>
        <v>0</v>
      </c>
    </row>
    <row r="410" spans="1:19" x14ac:dyDescent="0.25">
      <c r="B410" s="38" t="s">
        <v>23</v>
      </c>
      <c r="C410" s="30"/>
      <c r="D410" s="30"/>
      <c r="E410" s="34"/>
      <c r="F410" s="58">
        <f>SUM(H410:L410)</f>
        <v>49967000</v>
      </c>
      <c r="G410" s="7"/>
      <c r="H410" s="36">
        <v>478000</v>
      </c>
      <c r="I410" s="33"/>
      <c r="J410" s="36">
        <v>2703000</v>
      </c>
      <c r="K410" s="33"/>
      <c r="L410" s="36">
        <v>46786000</v>
      </c>
      <c r="M410" s="33"/>
      <c r="N410" s="36">
        <v>16999000</v>
      </c>
      <c r="O410" s="33"/>
      <c r="P410" s="36">
        <v>32968000</v>
      </c>
      <c r="Q410" s="33"/>
      <c r="R410" s="36">
        <v>0</v>
      </c>
      <c r="S410" s="29">
        <f t="shared" si="16"/>
        <v>0</v>
      </c>
    </row>
    <row r="411" spans="1:19" x14ac:dyDescent="0.25">
      <c r="A411" s="46"/>
      <c r="B411" s="46"/>
      <c r="C411" s="46"/>
      <c r="D411" s="46"/>
      <c r="E411" s="4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29">
        <f t="shared" si="16"/>
        <v>0</v>
      </c>
    </row>
    <row r="412" spans="1:19" x14ac:dyDescent="0.25">
      <c r="B412" s="38" t="s">
        <v>25</v>
      </c>
      <c r="F412" s="58">
        <f>SUM(H412:L412)</f>
        <v>1120000</v>
      </c>
      <c r="G412" s="7"/>
      <c r="H412" s="36">
        <v>997000</v>
      </c>
      <c r="I412" s="33"/>
      <c r="J412" s="36">
        <v>114000</v>
      </c>
      <c r="K412" s="33"/>
      <c r="L412" s="36">
        <v>9000</v>
      </c>
      <c r="M412" s="33"/>
      <c r="N412" s="36">
        <v>705000</v>
      </c>
      <c r="O412" s="33"/>
      <c r="P412" s="36">
        <v>415000</v>
      </c>
      <c r="Q412" s="33"/>
      <c r="R412" s="36">
        <v>0</v>
      </c>
      <c r="S412" s="29">
        <f t="shared" si="16"/>
        <v>0</v>
      </c>
    </row>
    <row r="413" spans="1:19" x14ac:dyDescent="0.25">
      <c r="G413" s="7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29">
        <f t="shared" si="16"/>
        <v>0</v>
      </c>
    </row>
    <row r="414" spans="1:19" x14ac:dyDescent="0.25">
      <c r="B414" s="38" t="s">
        <v>30</v>
      </c>
      <c r="F414" s="58">
        <f>SUM(H414:L414)</f>
        <v>1789000</v>
      </c>
      <c r="G414" s="7"/>
      <c r="H414" s="36">
        <v>1000</v>
      </c>
      <c r="I414" s="33"/>
      <c r="J414" s="36">
        <v>16000</v>
      </c>
      <c r="K414" s="33"/>
      <c r="L414" s="36">
        <v>1772000</v>
      </c>
      <c r="M414" s="33"/>
      <c r="N414" s="36">
        <f>741000-1000</f>
        <v>740000</v>
      </c>
      <c r="O414" s="33"/>
      <c r="P414" s="36">
        <v>1049000</v>
      </c>
      <c r="Q414" s="33"/>
      <c r="R414" s="36">
        <v>0</v>
      </c>
      <c r="S414" s="29">
        <f t="shared" si="16"/>
        <v>0</v>
      </c>
    </row>
    <row r="415" spans="1:19" x14ac:dyDescent="0.25">
      <c r="G415" s="7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29">
        <f t="shared" si="16"/>
        <v>0</v>
      </c>
    </row>
    <row r="416" spans="1:19" x14ac:dyDescent="0.25">
      <c r="E416" s="30" t="s">
        <v>168</v>
      </c>
      <c r="F416" s="58">
        <f>SUM(H416:L416)</f>
        <v>77127000</v>
      </c>
      <c r="G416" s="7"/>
      <c r="H416" s="58">
        <f>+H408+H410+H414+H412</f>
        <v>17658000</v>
      </c>
      <c r="I416" s="18"/>
      <c r="J416" s="58">
        <f>+J408+J410+J414+J412</f>
        <v>8247000</v>
      </c>
      <c r="K416" s="18"/>
      <c r="L416" s="58">
        <f>+L408+L410+L414+L412</f>
        <v>51222000</v>
      </c>
      <c r="M416" s="18"/>
      <c r="N416" s="58">
        <f>+N408+N410+N414+N412</f>
        <v>34928000</v>
      </c>
      <c r="O416" s="18"/>
      <c r="P416" s="58">
        <f>+P408+P410+P414+P412</f>
        <v>42199000</v>
      </c>
      <c r="Q416" s="18"/>
      <c r="R416" s="58">
        <f>+R408+R410+R414+R412</f>
        <v>0</v>
      </c>
      <c r="S416" s="29">
        <f t="shared" si="16"/>
        <v>0</v>
      </c>
    </row>
    <row r="417" spans="1:19" x14ac:dyDescent="0.25">
      <c r="G417" s="7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29">
        <f t="shared" si="16"/>
        <v>0</v>
      </c>
    </row>
    <row r="418" spans="1:19" x14ac:dyDescent="0.25">
      <c r="A418" s="22" t="s">
        <v>169</v>
      </c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29">
        <f t="shared" si="16"/>
        <v>0</v>
      </c>
    </row>
    <row r="419" spans="1:19" x14ac:dyDescent="0.25">
      <c r="A419" s="22"/>
      <c r="B419" s="22" t="s">
        <v>170</v>
      </c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29">
        <f t="shared" si="16"/>
        <v>0</v>
      </c>
    </row>
    <row r="420" spans="1:19" x14ac:dyDescent="0.25">
      <c r="A420" s="46"/>
      <c r="B420" s="46"/>
      <c r="C420" s="46"/>
      <c r="D420" s="46"/>
      <c r="E420" s="4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29">
        <f t="shared" si="16"/>
        <v>0</v>
      </c>
    </row>
    <row r="421" spans="1:19" x14ac:dyDescent="0.25">
      <c r="B421" s="38" t="s">
        <v>12</v>
      </c>
      <c r="F421" s="58">
        <f>SUM(H421:L421)</f>
        <v>9300000</v>
      </c>
      <c r="G421" s="7"/>
      <c r="H421" s="36">
        <f>5734000+1000</f>
        <v>5735000</v>
      </c>
      <c r="I421" s="33"/>
      <c r="J421" s="36">
        <v>1718000</v>
      </c>
      <c r="K421" s="33"/>
      <c r="L421" s="36">
        <f>1848000-1000</f>
        <v>1847000</v>
      </c>
      <c r="M421" s="33"/>
      <c r="N421" s="36">
        <f>6101000-1000</f>
        <v>6100000</v>
      </c>
      <c r="O421" s="33"/>
      <c r="P421" s="36">
        <v>3200000</v>
      </c>
      <c r="Q421" s="33"/>
      <c r="R421" s="36">
        <v>0</v>
      </c>
      <c r="S421" s="29">
        <f t="shared" si="16"/>
        <v>0</v>
      </c>
    </row>
    <row r="422" spans="1:19" x14ac:dyDescent="0.25">
      <c r="A422" s="46"/>
      <c r="B422" s="46"/>
      <c r="C422" s="46"/>
      <c r="D422" s="46"/>
      <c r="E422" s="4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29">
        <f t="shared" si="16"/>
        <v>0</v>
      </c>
    </row>
    <row r="423" spans="1:19" x14ac:dyDescent="0.25">
      <c r="B423" s="38" t="s">
        <v>23</v>
      </c>
      <c r="F423" s="58">
        <f>SUM(H423:L423)</f>
        <v>576000</v>
      </c>
      <c r="G423" s="7"/>
      <c r="H423" s="36">
        <v>30000</v>
      </c>
      <c r="I423" s="33"/>
      <c r="J423" s="36">
        <v>29000</v>
      </c>
      <c r="K423" s="33"/>
      <c r="L423" s="36">
        <v>517000</v>
      </c>
      <c r="M423" s="33"/>
      <c r="N423" s="36">
        <v>389000</v>
      </c>
      <c r="O423" s="33"/>
      <c r="P423" s="36">
        <v>187000</v>
      </c>
      <c r="Q423" s="33"/>
      <c r="R423" s="36">
        <v>0</v>
      </c>
      <c r="S423" s="29">
        <f t="shared" si="16"/>
        <v>0</v>
      </c>
    </row>
    <row r="424" spans="1:19" x14ac:dyDescent="0.25"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29">
        <f t="shared" si="16"/>
        <v>0</v>
      </c>
    </row>
    <row r="425" spans="1:19" x14ac:dyDescent="0.25">
      <c r="B425" s="38" t="s">
        <v>25</v>
      </c>
      <c r="F425" s="58">
        <f>SUM(H425:L425)</f>
        <v>229000</v>
      </c>
      <c r="G425" s="7"/>
      <c r="H425" s="36">
        <v>134000</v>
      </c>
      <c r="I425" s="33"/>
      <c r="J425" s="36">
        <v>0</v>
      </c>
      <c r="K425" s="33"/>
      <c r="L425" s="36">
        <v>95000</v>
      </c>
      <c r="M425" s="33"/>
      <c r="N425" s="36">
        <v>80000</v>
      </c>
      <c r="O425" s="33"/>
      <c r="P425" s="36">
        <v>149000</v>
      </c>
      <c r="Q425" s="33"/>
      <c r="R425" s="36">
        <v>0</v>
      </c>
      <c r="S425" s="29">
        <f t="shared" si="16"/>
        <v>0</v>
      </c>
    </row>
    <row r="426" spans="1:19" x14ac:dyDescent="0.25"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29">
        <f t="shared" si="16"/>
        <v>0</v>
      </c>
    </row>
    <row r="427" spans="1:19" x14ac:dyDescent="0.25">
      <c r="E427" s="30" t="s">
        <v>171</v>
      </c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29">
        <f t="shared" si="16"/>
        <v>0</v>
      </c>
    </row>
    <row r="428" spans="1:19" x14ac:dyDescent="0.25">
      <c r="E428" s="30" t="s">
        <v>172</v>
      </c>
      <c r="F428" s="58">
        <f>SUM(H428:L428)</f>
        <v>10105000</v>
      </c>
      <c r="G428" s="7"/>
      <c r="H428" s="58">
        <f>H421+H423+H425</f>
        <v>5899000</v>
      </c>
      <c r="I428" s="18"/>
      <c r="J428" s="58">
        <f>J421+J423+J425</f>
        <v>1747000</v>
      </c>
      <c r="K428" s="18"/>
      <c r="L428" s="58">
        <f>L421+L423+L425</f>
        <v>2459000</v>
      </c>
      <c r="M428" s="18"/>
      <c r="N428" s="58">
        <f>N421+N423+N425</f>
        <v>6569000</v>
      </c>
      <c r="O428" s="18"/>
      <c r="P428" s="58">
        <f>P421+P423+P425</f>
        <v>3536000</v>
      </c>
      <c r="Q428" s="18"/>
      <c r="R428" s="58">
        <f>R421+R423+R425</f>
        <v>0</v>
      </c>
      <c r="S428" s="29">
        <f t="shared" si="16"/>
        <v>0</v>
      </c>
    </row>
    <row r="429" spans="1:19" x14ac:dyDescent="0.25">
      <c r="A429" s="46"/>
      <c r="B429" s="46"/>
      <c r="C429" s="46"/>
      <c r="D429" s="46"/>
      <c r="E429" s="46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29">
        <f t="shared" si="16"/>
        <v>0</v>
      </c>
    </row>
    <row r="430" spans="1:19" x14ac:dyDescent="0.25">
      <c r="A430" s="22" t="s">
        <v>173</v>
      </c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29">
        <f t="shared" si="16"/>
        <v>0</v>
      </c>
    </row>
    <row r="431" spans="1:19" x14ac:dyDescent="0.25">
      <c r="A431" s="46"/>
      <c r="B431" s="46"/>
      <c r="C431" s="46"/>
      <c r="D431" s="46"/>
      <c r="E431" s="46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29">
        <f t="shared" si="16"/>
        <v>0</v>
      </c>
    </row>
    <row r="432" spans="1:19" x14ac:dyDescent="0.25">
      <c r="B432" s="38" t="s">
        <v>12</v>
      </c>
      <c r="F432" s="58">
        <f>SUM(H432:L432)</f>
        <v>40967000</v>
      </c>
      <c r="G432" s="7"/>
      <c r="H432" s="36">
        <v>5038000</v>
      </c>
      <c r="I432" s="33"/>
      <c r="J432" s="36">
        <v>474000</v>
      </c>
      <c r="K432" s="33"/>
      <c r="L432" s="36">
        <v>35455000</v>
      </c>
      <c r="M432" s="33"/>
      <c r="N432" s="36">
        <v>6146000</v>
      </c>
      <c r="O432" s="33"/>
      <c r="P432" s="36">
        <v>34821000</v>
      </c>
      <c r="Q432" s="33"/>
      <c r="R432" s="36">
        <v>0</v>
      </c>
      <c r="S432" s="29">
        <f t="shared" si="16"/>
        <v>0</v>
      </c>
    </row>
    <row r="433" spans="1:19" x14ac:dyDescent="0.25">
      <c r="A433" s="46"/>
      <c r="B433" s="46"/>
      <c r="C433" s="46"/>
      <c r="D433" s="46"/>
      <c r="E433" s="46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29">
        <f t="shared" si="16"/>
        <v>0</v>
      </c>
    </row>
    <row r="434" spans="1:19" x14ac:dyDescent="0.25">
      <c r="B434" s="38" t="s">
        <v>23</v>
      </c>
      <c r="F434" s="58">
        <f>SUM(H434:L434)</f>
        <v>1710000</v>
      </c>
      <c r="G434" s="7"/>
      <c r="H434" s="36">
        <v>4000</v>
      </c>
      <c r="I434" s="33"/>
      <c r="J434" s="36">
        <v>10000</v>
      </c>
      <c r="K434" s="33"/>
      <c r="L434" s="36">
        <v>1696000</v>
      </c>
      <c r="M434" s="33"/>
      <c r="N434" s="36">
        <v>968000</v>
      </c>
      <c r="O434" s="33"/>
      <c r="P434" s="36">
        <v>742000</v>
      </c>
      <c r="Q434" s="33"/>
      <c r="R434" s="36">
        <v>0</v>
      </c>
      <c r="S434" s="29">
        <f t="shared" si="16"/>
        <v>0</v>
      </c>
    </row>
    <row r="435" spans="1:19" x14ac:dyDescent="0.25">
      <c r="A435" s="46"/>
      <c r="B435" s="46"/>
      <c r="C435" s="46"/>
      <c r="D435" s="46"/>
      <c r="E435" s="46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29">
        <f t="shared" si="16"/>
        <v>0</v>
      </c>
    </row>
    <row r="436" spans="1:19" x14ac:dyDescent="0.25">
      <c r="B436" s="38" t="s">
        <v>25</v>
      </c>
      <c r="F436" s="58">
        <f>SUM(H436:L436)</f>
        <v>261000</v>
      </c>
      <c r="G436" s="7"/>
      <c r="H436" s="36">
        <v>0</v>
      </c>
      <c r="I436" s="33"/>
      <c r="J436" s="36">
        <v>261000</v>
      </c>
      <c r="K436" s="33"/>
      <c r="L436" s="36">
        <v>0</v>
      </c>
      <c r="M436" s="33"/>
      <c r="N436" s="36">
        <f>162000+1000</f>
        <v>163000</v>
      </c>
      <c r="O436" s="33"/>
      <c r="P436" s="36">
        <v>98000</v>
      </c>
      <c r="Q436" s="33"/>
      <c r="R436" s="36">
        <v>0</v>
      </c>
      <c r="S436" s="29">
        <f t="shared" si="16"/>
        <v>0</v>
      </c>
    </row>
    <row r="437" spans="1:19" x14ac:dyDescent="0.25"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29">
        <f t="shared" si="16"/>
        <v>0</v>
      </c>
    </row>
    <row r="438" spans="1:19" x14ac:dyDescent="0.25">
      <c r="B438" s="38" t="s">
        <v>30</v>
      </c>
      <c r="F438" s="58">
        <f>SUM(H438:L438)</f>
        <v>-55000</v>
      </c>
      <c r="G438" s="7"/>
      <c r="H438" s="36">
        <v>0</v>
      </c>
      <c r="I438" s="33"/>
      <c r="J438" s="36">
        <f>-55000</f>
        <v>-55000</v>
      </c>
      <c r="K438" s="33"/>
      <c r="L438" s="36">
        <v>0</v>
      </c>
      <c r="M438" s="33"/>
      <c r="N438" s="36">
        <v>5000</v>
      </c>
      <c r="O438" s="33"/>
      <c r="P438" s="36">
        <v>-60000</v>
      </c>
      <c r="Q438" s="33"/>
      <c r="R438" s="36">
        <v>0</v>
      </c>
      <c r="S438" s="29">
        <f t="shared" si="16"/>
        <v>0</v>
      </c>
    </row>
    <row r="439" spans="1:19" x14ac:dyDescent="0.25"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29">
        <f t="shared" si="16"/>
        <v>0</v>
      </c>
    </row>
    <row r="440" spans="1:19" x14ac:dyDescent="0.25">
      <c r="E440" s="30" t="s">
        <v>174</v>
      </c>
      <c r="F440" s="58">
        <f>SUM(H440:L440)</f>
        <v>42883000</v>
      </c>
      <c r="G440" s="7"/>
      <c r="H440" s="58">
        <f>+H432+H434+H436+H438</f>
        <v>5042000</v>
      </c>
      <c r="I440" s="18"/>
      <c r="J440" s="58">
        <f>+J432+J434+J436+J438</f>
        <v>690000</v>
      </c>
      <c r="K440" s="18"/>
      <c r="L440" s="58">
        <f>+L432+L434+L436+L438</f>
        <v>37151000</v>
      </c>
      <c r="M440" s="18"/>
      <c r="N440" s="58">
        <f>+N432+N434+N436+N438</f>
        <v>7282000</v>
      </c>
      <c r="O440" s="18"/>
      <c r="P440" s="58">
        <f>+P432+P434+P436+P438</f>
        <v>35601000</v>
      </c>
      <c r="Q440" s="18"/>
      <c r="R440" s="58">
        <f>+R432+R434+R436+R438</f>
        <v>0</v>
      </c>
      <c r="S440" s="29">
        <f t="shared" si="16"/>
        <v>0</v>
      </c>
    </row>
    <row r="441" spans="1:19" x14ac:dyDescent="0.25">
      <c r="A441" s="46"/>
      <c r="B441" s="46"/>
      <c r="C441" s="46"/>
      <c r="D441" s="46"/>
      <c r="E441" s="46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29">
        <f t="shared" si="16"/>
        <v>0</v>
      </c>
    </row>
    <row r="442" spans="1:19" x14ac:dyDescent="0.25">
      <c r="A442" s="22" t="s">
        <v>175</v>
      </c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29">
        <f t="shared" si="16"/>
        <v>0</v>
      </c>
    </row>
    <row r="443" spans="1:19" x14ac:dyDescent="0.25"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29">
        <f t="shared" si="16"/>
        <v>0</v>
      </c>
    </row>
    <row r="444" spans="1:19" x14ac:dyDescent="0.25">
      <c r="B444" s="38" t="s">
        <v>12</v>
      </c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29">
        <f t="shared" si="16"/>
        <v>0</v>
      </c>
    </row>
    <row r="445" spans="1:19" x14ac:dyDescent="0.25">
      <c r="C445" s="30" t="s">
        <v>176</v>
      </c>
      <c r="D445" s="30"/>
      <c r="E445" s="34"/>
      <c r="F445" s="18">
        <f t="shared" ref="F445:F453" si="17">SUM(H445:L445)</f>
        <v>714000</v>
      </c>
      <c r="G445" s="35"/>
      <c r="H445" s="33">
        <v>7000</v>
      </c>
      <c r="I445" s="57"/>
      <c r="J445" s="33">
        <v>1000</v>
      </c>
      <c r="K445" s="57"/>
      <c r="L445" s="33">
        <v>706000</v>
      </c>
      <c r="M445" s="57"/>
      <c r="N445" s="33">
        <f>207000-1000</f>
        <v>206000</v>
      </c>
      <c r="O445" s="57"/>
      <c r="P445" s="33">
        <v>508000</v>
      </c>
      <c r="Q445" s="57"/>
      <c r="R445" s="33">
        <v>0</v>
      </c>
      <c r="S445" s="29">
        <f t="shared" si="16"/>
        <v>0</v>
      </c>
    </row>
    <row r="446" spans="1:19" x14ac:dyDescent="0.25">
      <c r="C446" s="30" t="s">
        <v>177</v>
      </c>
      <c r="D446" s="30"/>
      <c r="E446" s="34"/>
      <c r="F446" s="18">
        <f t="shared" si="17"/>
        <v>129000</v>
      </c>
      <c r="G446" s="35"/>
      <c r="H446" s="33">
        <v>0</v>
      </c>
      <c r="I446" s="57"/>
      <c r="J446" s="33">
        <v>0</v>
      </c>
      <c r="K446" s="57"/>
      <c r="L446" s="33">
        <v>129000</v>
      </c>
      <c r="M446" s="57"/>
      <c r="N446" s="33">
        <v>61000</v>
      </c>
      <c r="O446" s="57"/>
      <c r="P446" s="33">
        <v>68000</v>
      </c>
      <c r="Q446" s="57"/>
      <c r="R446" s="33">
        <v>0</v>
      </c>
      <c r="S446" s="29">
        <f t="shared" si="16"/>
        <v>0</v>
      </c>
    </row>
    <row r="447" spans="1:19" x14ac:dyDescent="0.25">
      <c r="C447" s="30" t="s">
        <v>178</v>
      </c>
      <c r="D447" s="30"/>
      <c r="E447" s="34"/>
      <c r="F447" s="18">
        <f t="shared" si="17"/>
        <v>10000</v>
      </c>
      <c r="G447" s="35"/>
      <c r="H447" s="33">
        <v>0</v>
      </c>
      <c r="I447" s="57"/>
      <c r="J447" s="33">
        <v>0</v>
      </c>
      <c r="K447" s="57"/>
      <c r="L447" s="33">
        <v>10000</v>
      </c>
      <c r="M447" s="57"/>
      <c r="N447" s="33">
        <v>0</v>
      </c>
      <c r="O447" s="57"/>
      <c r="P447" s="33">
        <v>10000</v>
      </c>
      <c r="Q447" s="57"/>
      <c r="R447" s="33">
        <v>0</v>
      </c>
      <c r="S447" s="29">
        <f t="shared" si="16"/>
        <v>0</v>
      </c>
    </row>
    <row r="448" spans="1:19" x14ac:dyDescent="0.25">
      <c r="C448" s="34" t="s">
        <v>179</v>
      </c>
      <c r="D448" s="34"/>
      <c r="F448" s="18">
        <f t="shared" si="17"/>
        <v>106000</v>
      </c>
      <c r="G448" s="35"/>
      <c r="H448" s="33">
        <v>10000</v>
      </c>
      <c r="I448" s="57"/>
      <c r="J448" s="33">
        <v>0</v>
      </c>
      <c r="K448" s="57"/>
      <c r="L448" s="33">
        <v>96000</v>
      </c>
      <c r="M448" s="57"/>
      <c r="N448" s="33">
        <v>0</v>
      </c>
      <c r="O448" s="57"/>
      <c r="P448" s="33">
        <f>105000+1000</f>
        <v>106000</v>
      </c>
      <c r="Q448" s="57"/>
      <c r="R448" s="33">
        <v>0</v>
      </c>
      <c r="S448" s="29">
        <f t="shared" ref="S448:S511" si="18">+F448-N448-P448+R448</f>
        <v>0</v>
      </c>
    </row>
    <row r="449" spans="1:19" x14ac:dyDescent="0.25">
      <c r="C449" s="34" t="s">
        <v>184</v>
      </c>
      <c r="D449" s="34"/>
      <c r="F449" s="18">
        <f t="shared" si="17"/>
        <v>8000</v>
      </c>
      <c r="G449" s="35"/>
      <c r="H449" s="33">
        <v>0</v>
      </c>
      <c r="I449" s="57"/>
      <c r="J449" s="33">
        <v>0</v>
      </c>
      <c r="K449" s="57"/>
      <c r="L449" s="33">
        <v>8000</v>
      </c>
      <c r="M449" s="57"/>
      <c r="N449" s="33">
        <v>0</v>
      </c>
      <c r="O449" s="57"/>
      <c r="P449" s="33">
        <v>8000</v>
      </c>
      <c r="Q449" s="57"/>
      <c r="R449" s="33">
        <v>0</v>
      </c>
      <c r="S449" s="29">
        <f t="shared" si="18"/>
        <v>0</v>
      </c>
    </row>
    <row r="450" spans="1:19" x14ac:dyDescent="0.25">
      <c r="C450" s="34" t="s">
        <v>180</v>
      </c>
      <c r="D450" s="34"/>
      <c r="F450" s="18">
        <f t="shared" si="17"/>
        <v>49000</v>
      </c>
      <c r="G450" s="35"/>
      <c r="H450" s="33">
        <v>0</v>
      </c>
      <c r="I450" s="57"/>
      <c r="J450" s="33">
        <v>3000</v>
      </c>
      <c r="K450" s="57"/>
      <c r="L450" s="33">
        <v>46000</v>
      </c>
      <c r="M450" s="57"/>
      <c r="N450" s="33">
        <v>15000</v>
      </c>
      <c r="O450" s="57"/>
      <c r="P450" s="33">
        <v>34000</v>
      </c>
      <c r="Q450" s="57"/>
      <c r="R450" s="33">
        <v>0</v>
      </c>
      <c r="S450" s="29">
        <f t="shared" si="18"/>
        <v>0</v>
      </c>
    </row>
    <row r="451" spans="1:19" x14ac:dyDescent="0.25">
      <c r="C451" s="34" t="s">
        <v>106</v>
      </c>
      <c r="D451" s="34"/>
      <c r="F451" s="18">
        <f t="shared" si="17"/>
        <v>322000</v>
      </c>
      <c r="G451" s="35"/>
      <c r="H451" s="33">
        <v>139000</v>
      </c>
      <c r="I451" s="57"/>
      <c r="J451" s="33">
        <v>183000</v>
      </c>
      <c r="K451" s="57"/>
      <c r="L451" s="33">
        <v>0</v>
      </c>
      <c r="M451" s="57"/>
      <c r="N451" s="33">
        <v>235000</v>
      </c>
      <c r="O451" s="57"/>
      <c r="P451" s="33">
        <v>87000</v>
      </c>
      <c r="Q451" s="57"/>
      <c r="R451" s="33">
        <v>0</v>
      </c>
      <c r="S451" s="29">
        <f t="shared" si="18"/>
        <v>0</v>
      </c>
    </row>
    <row r="452" spans="1:19" x14ac:dyDescent="0.25">
      <c r="C452" s="34" t="s">
        <v>181</v>
      </c>
      <c r="D452" s="34"/>
      <c r="F452" s="18">
        <f t="shared" si="17"/>
        <v>104000</v>
      </c>
      <c r="G452" s="35"/>
      <c r="H452" s="33">
        <v>12000</v>
      </c>
      <c r="I452" s="57"/>
      <c r="J452" s="33">
        <v>0</v>
      </c>
      <c r="K452" s="57"/>
      <c r="L452" s="33">
        <v>92000</v>
      </c>
      <c r="M452" s="57"/>
      <c r="N452" s="33">
        <v>73000</v>
      </c>
      <c r="O452" s="57"/>
      <c r="P452" s="33">
        <v>31000</v>
      </c>
      <c r="Q452" s="57"/>
      <c r="R452" s="33">
        <v>0</v>
      </c>
      <c r="S452" s="29">
        <f t="shared" si="18"/>
        <v>0</v>
      </c>
    </row>
    <row r="453" spans="1:19" x14ac:dyDescent="0.25">
      <c r="C453" s="30" t="s">
        <v>183</v>
      </c>
      <c r="D453" s="30"/>
      <c r="E453" s="34"/>
      <c r="F453" s="58">
        <f t="shared" si="17"/>
        <v>123000</v>
      </c>
      <c r="G453" s="7"/>
      <c r="H453" s="36">
        <v>0</v>
      </c>
      <c r="I453" s="33"/>
      <c r="J453" s="36">
        <v>0</v>
      </c>
      <c r="K453" s="33"/>
      <c r="L453" s="36">
        <v>123000</v>
      </c>
      <c r="M453" s="33"/>
      <c r="N453" s="36">
        <v>56000</v>
      </c>
      <c r="O453" s="33"/>
      <c r="P453" s="36">
        <f>68000-1000</f>
        <v>67000</v>
      </c>
      <c r="Q453" s="33"/>
      <c r="R453" s="36">
        <v>0</v>
      </c>
      <c r="S453" s="29">
        <f t="shared" si="18"/>
        <v>0</v>
      </c>
    </row>
    <row r="454" spans="1:19" x14ac:dyDescent="0.25"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29">
        <f t="shared" si="18"/>
        <v>0</v>
      </c>
    </row>
    <row r="455" spans="1:19" x14ac:dyDescent="0.25">
      <c r="E455" s="30" t="s">
        <v>2</v>
      </c>
      <c r="F455" s="58">
        <f>SUM(H455:L455)</f>
        <v>1565000</v>
      </c>
      <c r="G455" s="7"/>
      <c r="H455" s="58">
        <f>SUM(H445:H454)</f>
        <v>168000</v>
      </c>
      <c r="I455" s="18"/>
      <c r="J455" s="58">
        <f>SUM(J445:J454)</f>
        <v>187000</v>
      </c>
      <c r="K455" s="18"/>
      <c r="L455" s="58">
        <f>SUM(L445:L454)</f>
        <v>1210000</v>
      </c>
      <c r="M455" s="18"/>
      <c r="N455" s="58">
        <f>SUM(N445:N454)</f>
        <v>646000</v>
      </c>
      <c r="O455" s="18"/>
      <c r="P455" s="58">
        <f>SUM(P445:P454)</f>
        <v>919000</v>
      </c>
      <c r="Q455" s="18"/>
      <c r="R455" s="58">
        <f>SUM(R445:R454)</f>
        <v>0</v>
      </c>
      <c r="S455" s="29">
        <f t="shared" si="18"/>
        <v>0</v>
      </c>
    </row>
    <row r="456" spans="1:19" x14ac:dyDescent="0.25">
      <c r="A456" s="46"/>
      <c r="B456" s="46"/>
      <c r="C456" s="46"/>
      <c r="D456" s="46"/>
      <c r="E456" s="46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29">
        <f t="shared" si="18"/>
        <v>0</v>
      </c>
    </row>
    <row r="457" spans="1:19" x14ac:dyDescent="0.25">
      <c r="B457" s="38" t="s">
        <v>23</v>
      </c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29">
        <f t="shared" si="18"/>
        <v>0</v>
      </c>
    </row>
    <row r="458" spans="1:19" x14ac:dyDescent="0.25">
      <c r="C458" s="30" t="s">
        <v>176</v>
      </c>
      <c r="D458" s="30"/>
      <c r="E458" s="34"/>
      <c r="F458" s="18">
        <f t="shared" ref="F458:F467" si="19">SUM(H458:L458)</f>
        <v>207000</v>
      </c>
      <c r="G458" s="35"/>
      <c r="H458" s="33">
        <v>156000</v>
      </c>
      <c r="I458" s="57"/>
      <c r="J458" s="33">
        <v>42000</v>
      </c>
      <c r="K458" s="57"/>
      <c r="L458" s="33">
        <v>9000</v>
      </c>
      <c r="M458" s="57"/>
      <c r="N458" s="33">
        <f>141000+1000</f>
        <v>142000</v>
      </c>
      <c r="O458" s="57"/>
      <c r="P458" s="33">
        <v>65000</v>
      </c>
      <c r="Q458" s="57"/>
      <c r="R458" s="33">
        <v>0</v>
      </c>
      <c r="S458" s="29">
        <f t="shared" si="18"/>
        <v>0</v>
      </c>
    </row>
    <row r="459" spans="1:19" x14ac:dyDescent="0.25">
      <c r="C459" s="30" t="s">
        <v>177</v>
      </c>
      <c r="D459" s="30"/>
      <c r="E459" s="34"/>
      <c r="F459" s="18">
        <f t="shared" si="19"/>
        <v>501000</v>
      </c>
      <c r="G459" s="35"/>
      <c r="H459" s="33">
        <v>83000</v>
      </c>
      <c r="I459" s="57"/>
      <c r="J459" s="33">
        <v>26000</v>
      </c>
      <c r="K459" s="57"/>
      <c r="L459" s="33">
        <v>392000</v>
      </c>
      <c r="M459" s="57"/>
      <c r="N459" s="33">
        <f>289000+1000</f>
        <v>290000</v>
      </c>
      <c r="O459" s="57"/>
      <c r="P459" s="33">
        <v>211000</v>
      </c>
      <c r="Q459" s="57"/>
      <c r="R459" s="33">
        <v>0</v>
      </c>
      <c r="S459" s="29">
        <f t="shared" si="18"/>
        <v>0</v>
      </c>
    </row>
    <row r="460" spans="1:19" x14ac:dyDescent="0.25">
      <c r="C460" s="30" t="s">
        <v>178</v>
      </c>
      <c r="D460" s="30"/>
      <c r="E460" s="34"/>
      <c r="F460" s="18">
        <f t="shared" si="19"/>
        <v>151000</v>
      </c>
      <c r="G460" s="35"/>
      <c r="H460" s="33">
        <v>99000</v>
      </c>
      <c r="I460" s="57"/>
      <c r="J460" s="33">
        <v>0</v>
      </c>
      <c r="K460" s="57"/>
      <c r="L460" s="33">
        <v>52000</v>
      </c>
      <c r="M460" s="57"/>
      <c r="N460" s="33">
        <v>101000</v>
      </c>
      <c r="O460" s="57"/>
      <c r="P460" s="33">
        <v>50000</v>
      </c>
      <c r="Q460" s="57"/>
      <c r="R460" s="33">
        <v>0</v>
      </c>
      <c r="S460" s="29">
        <f t="shared" si="18"/>
        <v>0</v>
      </c>
    </row>
    <row r="461" spans="1:19" x14ac:dyDescent="0.25">
      <c r="C461" s="34" t="s">
        <v>179</v>
      </c>
      <c r="D461" s="34"/>
      <c r="F461" s="18">
        <f t="shared" si="19"/>
        <v>3938000</v>
      </c>
      <c r="G461" s="35"/>
      <c r="H461" s="33">
        <v>286000</v>
      </c>
      <c r="I461" s="57"/>
      <c r="J461" s="33">
        <v>1567000</v>
      </c>
      <c r="K461" s="57"/>
      <c r="L461" s="33">
        <v>2085000</v>
      </c>
      <c r="M461" s="57"/>
      <c r="N461" s="33">
        <f>1407000-1000</f>
        <v>1406000</v>
      </c>
      <c r="O461" s="57"/>
      <c r="P461" s="33">
        <v>2685000</v>
      </c>
      <c r="Q461" s="57"/>
      <c r="R461" s="33">
        <v>153000</v>
      </c>
      <c r="S461" s="29">
        <f t="shared" si="18"/>
        <v>0</v>
      </c>
    </row>
    <row r="462" spans="1:19" x14ac:dyDescent="0.25">
      <c r="C462" s="34" t="s">
        <v>184</v>
      </c>
      <c r="D462" s="34"/>
      <c r="F462" s="18">
        <f t="shared" si="19"/>
        <v>943000</v>
      </c>
      <c r="G462" s="35"/>
      <c r="H462" s="33">
        <v>435000</v>
      </c>
      <c r="I462" s="57"/>
      <c r="J462" s="33">
        <v>7000</v>
      </c>
      <c r="K462" s="57"/>
      <c r="L462" s="33">
        <v>501000</v>
      </c>
      <c r="M462" s="57"/>
      <c r="N462" s="33">
        <v>413000</v>
      </c>
      <c r="O462" s="57"/>
      <c r="P462" s="33">
        <f>529000+1000</f>
        <v>530000</v>
      </c>
      <c r="Q462" s="57"/>
      <c r="R462" s="33">
        <v>0</v>
      </c>
      <c r="S462" s="29">
        <f t="shared" si="18"/>
        <v>0</v>
      </c>
    </row>
    <row r="463" spans="1:19" x14ac:dyDescent="0.25">
      <c r="C463" s="34" t="s">
        <v>180</v>
      </c>
      <c r="D463" s="34"/>
      <c r="F463" s="18">
        <f t="shared" si="19"/>
        <v>2480000</v>
      </c>
      <c r="G463" s="35"/>
      <c r="H463" s="33">
        <v>307000</v>
      </c>
      <c r="I463" s="57"/>
      <c r="J463" s="33">
        <v>874000</v>
      </c>
      <c r="K463" s="57"/>
      <c r="L463" s="33">
        <v>1299000</v>
      </c>
      <c r="M463" s="57"/>
      <c r="N463" s="33">
        <v>1063000</v>
      </c>
      <c r="O463" s="57"/>
      <c r="P463" s="33">
        <f>1418000-1000</f>
        <v>1417000</v>
      </c>
      <c r="Q463" s="57"/>
      <c r="R463" s="33">
        <v>0</v>
      </c>
      <c r="S463" s="29">
        <f t="shared" si="18"/>
        <v>0</v>
      </c>
    </row>
    <row r="464" spans="1:19" x14ac:dyDescent="0.25">
      <c r="C464" s="34" t="s">
        <v>106</v>
      </c>
      <c r="D464" s="34"/>
      <c r="F464" s="18">
        <f t="shared" si="19"/>
        <v>377000</v>
      </c>
      <c r="G464" s="35"/>
      <c r="H464" s="33">
        <f>44000-1000</f>
        <v>43000</v>
      </c>
      <c r="I464" s="57"/>
      <c r="J464" s="33">
        <v>49000</v>
      </c>
      <c r="K464" s="57"/>
      <c r="L464" s="33">
        <v>285000</v>
      </c>
      <c r="M464" s="57"/>
      <c r="N464" s="33">
        <v>136000</v>
      </c>
      <c r="O464" s="57"/>
      <c r="P464" s="33">
        <f>242000-1000</f>
        <v>241000</v>
      </c>
      <c r="Q464" s="57"/>
      <c r="R464" s="33">
        <v>0</v>
      </c>
      <c r="S464" s="29">
        <f t="shared" si="18"/>
        <v>0</v>
      </c>
    </row>
    <row r="465" spans="1:19" x14ac:dyDescent="0.25">
      <c r="C465" s="34" t="s">
        <v>181</v>
      </c>
      <c r="D465" s="34"/>
      <c r="F465" s="18">
        <f t="shared" si="19"/>
        <v>416000</v>
      </c>
      <c r="G465" s="35"/>
      <c r="H465" s="33">
        <v>130000</v>
      </c>
      <c r="I465" s="57"/>
      <c r="J465" s="33">
        <f>27000+1000</f>
        <v>28000</v>
      </c>
      <c r="K465" s="57"/>
      <c r="L465" s="33">
        <f>259000-1000</f>
        <v>258000</v>
      </c>
      <c r="M465" s="57"/>
      <c r="N465" s="33">
        <v>195000</v>
      </c>
      <c r="O465" s="57"/>
      <c r="P465" s="33">
        <v>221000</v>
      </c>
      <c r="Q465" s="57"/>
      <c r="R465" s="33">
        <v>0</v>
      </c>
      <c r="S465" s="29">
        <f t="shared" si="18"/>
        <v>0</v>
      </c>
    </row>
    <row r="466" spans="1:19" x14ac:dyDescent="0.25">
      <c r="C466" s="30" t="s">
        <v>182</v>
      </c>
      <c r="D466" s="30"/>
      <c r="E466" s="34"/>
      <c r="F466" s="18">
        <f t="shared" si="19"/>
        <v>637000</v>
      </c>
      <c r="G466" s="35"/>
      <c r="H466" s="33">
        <v>182000</v>
      </c>
      <c r="I466" s="57"/>
      <c r="J466" s="33">
        <v>0</v>
      </c>
      <c r="K466" s="57"/>
      <c r="L466" s="33">
        <v>455000</v>
      </c>
      <c r="M466" s="57"/>
      <c r="N466" s="33">
        <v>369000</v>
      </c>
      <c r="O466" s="57"/>
      <c r="P466" s="33">
        <v>268000</v>
      </c>
      <c r="Q466" s="57"/>
      <c r="R466" s="33">
        <v>0</v>
      </c>
      <c r="S466" s="29">
        <f t="shared" si="18"/>
        <v>0</v>
      </c>
    </row>
    <row r="467" spans="1:19" x14ac:dyDescent="0.25">
      <c r="C467" s="30" t="s">
        <v>183</v>
      </c>
      <c r="D467" s="30"/>
      <c r="E467" s="34"/>
      <c r="F467" s="58">
        <f t="shared" si="19"/>
        <v>299000</v>
      </c>
      <c r="G467" s="7"/>
      <c r="H467" s="36">
        <v>104000</v>
      </c>
      <c r="I467" s="33"/>
      <c r="J467" s="36">
        <v>49000</v>
      </c>
      <c r="K467" s="33"/>
      <c r="L467" s="36">
        <v>146000</v>
      </c>
      <c r="M467" s="33"/>
      <c r="N467" s="36">
        <v>126000</v>
      </c>
      <c r="O467" s="33"/>
      <c r="P467" s="36">
        <v>173000</v>
      </c>
      <c r="Q467" s="33"/>
      <c r="R467" s="36">
        <v>0</v>
      </c>
      <c r="S467" s="29">
        <f t="shared" si="18"/>
        <v>0</v>
      </c>
    </row>
    <row r="468" spans="1:19" x14ac:dyDescent="0.25"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29">
        <f t="shared" si="18"/>
        <v>0</v>
      </c>
    </row>
    <row r="469" spans="1:19" x14ac:dyDescent="0.25">
      <c r="E469" s="30" t="s">
        <v>2</v>
      </c>
      <c r="F469" s="58">
        <f>SUM(H469:L469)</f>
        <v>9949000</v>
      </c>
      <c r="G469" s="7"/>
      <c r="H469" s="58">
        <f>SUM(H458:H468)</f>
        <v>1825000</v>
      </c>
      <c r="I469" s="18"/>
      <c r="J469" s="58">
        <f>SUM(J458:J468)</f>
        <v>2642000</v>
      </c>
      <c r="K469" s="18"/>
      <c r="L469" s="58">
        <f>SUM(L458:L468)</f>
        <v>5482000</v>
      </c>
      <c r="M469" s="18"/>
      <c r="N469" s="58">
        <f>SUM(N458:N468)</f>
        <v>4241000</v>
      </c>
      <c r="O469" s="18"/>
      <c r="P469" s="58">
        <f>SUM(P458:P468)</f>
        <v>5861000</v>
      </c>
      <c r="Q469" s="18"/>
      <c r="R469" s="58">
        <f>SUM(R458:R468)</f>
        <v>153000</v>
      </c>
      <c r="S469" s="29">
        <f t="shared" si="18"/>
        <v>0</v>
      </c>
    </row>
    <row r="470" spans="1:19" x14ac:dyDescent="0.25">
      <c r="A470" s="46"/>
      <c r="B470" s="46"/>
      <c r="C470" s="46"/>
      <c r="D470" s="46"/>
      <c r="E470" s="46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29">
        <f t="shared" si="18"/>
        <v>0</v>
      </c>
    </row>
    <row r="471" spans="1:19" x14ac:dyDescent="0.25">
      <c r="B471" s="38" t="s">
        <v>25</v>
      </c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29">
        <f t="shared" si="18"/>
        <v>0</v>
      </c>
    </row>
    <row r="472" spans="1:19" x14ac:dyDescent="0.25">
      <c r="C472" s="34" t="s">
        <v>179</v>
      </c>
      <c r="D472" s="34"/>
      <c r="F472" s="18">
        <f>SUM(H472:L472)</f>
        <v>140000</v>
      </c>
      <c r="G472" s="35"/>
      <c r="H472" s="33">
        <v>0</v>
      </c>
      <c r="I472" s="57"/>
      <c r="J472" s="33">
        <f>5000+1000</f>
        <v>6000</v>
      </c>
      <c r="K472" s="57"/>
      <c r="L472" s="33">
        <v>134000</v>
      </c>
      <c r="M472" s="57"/>
      <c r="N472" s="33">
        <v>56000</v>
      </c>
      <c r="O472" s="57"/>
      <c r="P472" s="33">
        <v>84000</v>
      </c>
      <c r="Q472" s="57"/>
      <c r="R472" s="33">
        <v>0</v>
      </c>
      <c r="S472" s="29">
        <f t="shared" si="18"/>
        <v>0</v>
      </c>
    </row>
    <row r="473" spans="1:19" x14ac:dyDescent="0.25">
      <c r="C473" s="34" t="s">
        <v>106</v>
      </c>
      <c r="D473" s="34"/>
      <c r="F473" s="18">
        <f>SUM(H473:L473)</f>
        <v>15000</v>
      </c>
      <c r="G473" s="35"/>
      <c r="H473" s="33">
        <v>1000</v>
      </c>
      <c r="I473" s="57"/>
      <c r="J473" s="33">
        <v>2000</v>
      </c>
      <c r="K473" s="57"/>
      <c r="L473" s="33">
        <v>12000</v>
      </c>
      <c r="M473" s="57"/>
      <c r="N473" s="33">
        <v>2000</v>
      </c>
      <c r="O473" s="57"/>
      <c r="P473" s="33">
        <v>13000</v>
      </c>
      <c r="Q473" s="57"/>
      <c r="R473" s="33">
        <v>0</v>
      </c>
      <c r="S473" s="29">
        <f t="shared" si="18"/>
        <v>0</v>
      </c>
    </row>
    <row r="474" spans="1:19" x14ac:dyDescent="0.25">
      <c r="F474" s="3"/>
      <c r="G474" s="7"/>
      <c r="H474" s="4"/>
      <c r="I474" s="7"/>
      <c r="J474" s="4"/>
      <c r="K474" s="7"/>
      <c r="L474" s="4"/>
      <c r="M474" s="7"/>
      <c r="N474" s="4"/>
      <c r="O474" s="7"/>
      <c r="P474" s="4"/>
      <c r="Q474" s="7"/>
      <c r="R474" s="4"/>
      <c r="S474" s="29">
        <f t="shared" si="18"/>
        <v>0</v>
      </c>
    </row>
    <row r="475" spans="1:19" x14ac:dyDescent="0.25">
      <c r="E475" s="30" t="s">
        <v>2</v>
      </c>
      <c r="F475" s="58">
        <f>SUM(H475:L475)</f>
        <v>155000</v>
      </c>
      <c r="G475" s="7"/>
      <c r="H475" s="58">
        <f>SUM(H472:H473)</f>
        <v>1000</v>
      </c>
      <c r="I475" s="18"/>
      <c r="J475" s="58">
        <f>SUM(J472:J473)</f>
        <v>8000</v>
      </c>
      <c r="K475" s="18"/>
      <c r="L475" s="58">
        <f>SUM(L472:L473)</f>
        <v>146000</v>
      </c>
      <c r="M475" s="18"/>
      <c r="N475" s="58">
        <f>SUM(N472:N473)</f>
        <v>58000</v>
      </c>
      <c r="O475" s="18"/>
      <c r="P475" s="58">
        <f>SUM(P472:P473)</f>
        <v>97000</v>
      </c>
      <c r="Q475" s="18"/>
      <c r="R475" s="58">
        <f>SUM(R472:R473)</f>
        <v>0</v>
      </c>
      <c r="S475" s="29">
        <f t="shared" si="18"/>
        <v>0</v>
      </c>
    </row>
    <row r="476" spans="1:19" x14ac:dyDescent="0.25">
      <c r="G476" s="7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29">
        <f t="shared" si="18"/>
        <v>0</v>
      </c>
    </row>
    <row r="477" spans="1:19" x14ac:dyDescent="0.25">
      <c r="B477" s="38" t="s">
        <v>30</v>
      </c>
      <c r="F477" s="58">
        <f>SUM(H477:L477)</f>
        <v>1000</v>
      </c>
      <c r="G477" s="7"/>
      <c r="H477" s="36">
        <v>0</v>
      </c>
      <c r="I477" s="33"/>
      <c r="J477" s="36">
        <v>0</v>
      </c>
      <c r="K477" s="33"/>
      <c r="L477" s="36">
        <v>1000</v>
      </c>
      <c r="M477" s="33"/>
      <c r="N477" s="36">
        <v>0</v>
      </c>
      <c r="O477" s="33"/>
      <c r="P477" s="36">
        <v>1000</v>
      </c>
      <c r="Q477" s="33"/>
      <c r="R477" s="36">
        <v>0</v>
      </c>
      <c r="S477" s="29">
        <f t="shared" si="18"/>
        <v>0</v>
      </c>
    </row>
    <row r="478" spans="1:19" x14ac:dyDescent="0.25">
      <c r="G478" s="7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29">
        <f t="shared" si="18"/>
        <v>0</v>
      </c>
    </row>
    <row r="479" spans="1:19" x14ac:dyDescent="0.25">
      <c r="E479" s="30" t="s">
        <v>185</v>
      </c>
      <c r="F479" s="58">
        <f>SUM(H479:L479)</f>
        <v>11670000</v>
      </c>
      <c r="G479" s="7"/>
      <c r="H479" s="58">
        <f>+H455+H469+H475+H477</f>
        <v>1994000</v>
      </c>
      <c r="I479" s="18"/>
      <c r="J479" s="58">
        <f>+J455+J469+J475+J477</f>
        <v>2837000</v>
      </c>
      <c r="K479" s="18"/>
      <c r="L479" s="58">
        <f>+L455+L469+L475+L477</f>
        <v>6839000</v>
      </c>
      <c r="M479" s="18"/>
      <c r="N479" s="58">
        <f>+N455+N469+N475+N477</f>
        <v>4945000</v>
      </c>
      <c r="O479" s="18"/>
      <c r="P479" s="58">
        <f>+P455+P469+P475+P477</f>
        <v>6878000</v>
      </c>
      <c r="Q479" s="18"/>
      <c r="R479" s="58">
        <f>+R455+R469+R475+R477</f>
        <v>153000</v>
      </c>
      <c r="S479" s="29">
        <f t="shared" si="18"/>
        <v>0</v>
      </c>
    </row>
    <row r="480" spans="1:19" x14ac:dyDescent="0.25">
      <c r="G480" s="7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29">
        <f t="shared" si="18"/>
        <v>0</v>
      </c>
    </row>
    <row r="481" spans="1:19" x14ac:dyDescent="0.25">
      <c r="A481" s="22" t="s">
        <v>186</v>
      </c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29">
        <f t="shared" si="18"/>
        <v>0</v>
      </c>
    </row>
    <row r="482" spans="1:19" x14ac:dyDescent="0.25">
      <c r="A482" s="46"/>
      <c r="B482" s="46"/>
      <c r="C482" s="46"/>
      <c r="D482" s="46"/>
      <c r="E482" s="46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29">
        <f t="shared" si="18"/>
        <v>0</v>
      </c>
    </row>
    <row r="483" spans="1:19" x14ac:dyDescent="0.25">
      <c r="B483" s="38" t="s">
        <v>12</v>
      </c>
      <c r="F483" s="58">
        <f>SUM(H483:L483)</f>
        <v>6982000</v>
      </c>
      <c r="G483" s="7"/>
      <c r="H483" s="36">
        <v>5120000</v>
      </c>
      <c r="I483" s="33"/>
      <c r="J483" s="36">
        <v>1500000</v>
      </c>
      <c r="K483" s="33"/>
      <c r="L483" s="36">
        <v>362000</v>
      </c>
      <c r="M483" s="33"/>
      <c r="N483" s="36">
        <v>4468000</v>
      </c>
      <c r="O483" s="33"/>
      <c r="P483" s="36">
        <f>2515000-1000</f>
        <v>2514000</v>
      </c>
      <c r="Q483" s="33"/>
      <c r="R483" s="36">
        <v>0</v>
      </c>
      <c r="S483" s="29">
        <f t="shared" si="18"/>
        <v>0</v>
      </c>
    </row>
    <row r="484" spans="1:19" x14ac:dyDescent="0.25">
      <c r="A484" s="46"/>
      <c r="B484" s="46"/>
      <c r="C484" s="46"/>
      <c r="D484" s="46"/>
      <c r="E484" s="46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29">
        <f t="shared" si="18"/>
        <v>0</v>
      </c>
    </row>
    <row r="485" spans="1:19" x14ac:dyDescent="0.25">
      <c r="B485" s="38" t="s">
        <v>23</v>
      </c>
      <c r="F485" s="58">
        <f>SUM(H485:L485)</f>
        <v>26000</v>
      </c>
      <c r="G485" s="7"/>
      <c r="H485" s="36">
        <v>26000</v>
      </c>
      <c r="I485" s="33"/>
      <c r="J485" s="36">
        <v>0</v>
      </c>
      <c r="K485" s="33"/>
      <c r="L485" s="36">
        <v>0</v>
      </c>
      <c r="M485" s="33"/>
      <c r="N485" s="36">
        <v>18000</v>
      </c>
      <c r="O485" s="33"/>
      <c r="P485" s="36">
        <v>8000</v>
      </c>
      <c r="Q485" s="33"/>
      <c r="R485" s="36">
        <v>0</v>
      </c>
      <c r="S485" s="29">
        <f t="shared" si="18"/>
        <v>0</v>
      </c>
    </row>
    <row r="486" spans="1:19" x14ac:dyDescent="0.25">
      <c r="A486" s="46"/>
      <c r="B486" s="46"/>
      <c r="C486" s="46"/>
      <c r="D486" s="46"/>
      <c r="E486" s="46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29">
        <f t="shared" si="18"/>
        <v>0</v>
      </c>
    </row>
    <row r="487" spans="1:19" x14ac:dyDescent="0.25">
      <c r="A487" s="46"/>
      <c r="B487" s="38" t="s">
        <v>25</v>
      </c>
      <c r="C487" s="46"/>
      <c r="D487" s="46"/>
      <c r="F487" s="58">
        <f>SUM(H487:L487)</f>
        <v>247000</v>
      </c>
      <c r="G487" s="7"/>
      <c r="H487" s="36">
        <v>4000</v>
      </c>
      <c r="I487" s="33"/>
      <c r="J487" s="36">
        <v>5000</v>
      </c>
      <c r="K487" s="33"/>
      <c r="L487" s="36">
        <v>238000</v>
      </c>
      <c r="M487" s="33"/>
      <c r="N487" s="36">
        <v>68000</v>
      </c>
      <c r="O487" s="33"/>
      <c r="P487" s="36">
        <f>178000+1000</f>
        <v>179000</v>
      </c>
      <c r="Q487" s="33"/>
      <c r="R487" s="36">
        <v>0</v>
      </c>
      <c r="S487" s="29">
        <f t="shared" si="18"/>
        <v>0</v>
      </c>
    </row>
    <row r="488" spans="1:19" x14ac:dyDescent="0.25">
      <c r="A488" s="46"/>
      <c r="B488" s="46"/>
      <c r="C488" s="46"/>
      <c r="D488" s="46"/>
      <c r="E488" s="46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29">
        <f t="shared" si="18"/>
        <v>0</v>
      </c>
    </row>
    <row r="489" spans="1:19" x14ac:dyDescent="0.25">
      <c r="E489" s="30" t="s">
        <v>187</v>
      </c>
      <c r="F489" s="58">
        <f>SUM(H489:L489)</f>
        <v>7255000</v>
      </c>
      <c r="G489" s="7"/>
      <c r="H489" s="58">
        <f>+H483+H485+H487</f>
        <v>5150000</v>
      </c>
      <c r="I489" s="18"/>
      <c r="J489" s="58">
        <f>+J483+J485+J487</f>
        <v>1505000</v>
      </c>
      <c r="K489" s="18"/>
      <c r="L489" s="58">
        <f>+L483+L485+L487</f>
        <v>600000</v>
      </c>
      <c r="M489" s="18"/>
      <c r="N489" s="58">
        <f>+N483+N485+N487</f>
        <v>4554000</v>
      </c>
      <c r="O489" s="18"/>
      <c r="P489" s="58">
        <f>+P483+P485+P487</f>
        <v>2701000</v>
      </c>
      <c r="Q489" s="18"/>
      <c r="R489" s="58">
        <f>+R483+R485+R487</f>
        <v>0</v>
      </c>
      <c r="S489" s="29">
        <f t="shared" si="18"/>
        <v>0</v>
      </c>
    </row>
    <row r="490" spans="1:19" x14ac:dyDescent="0.25">
      <c r="A490" s="46"/>
      <c r="B490" s="46"/>
      <c r="C490" s="46"/>
      <c r="D490" s="46"/>
      <c r="E490" s="46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29">
        <f t="shared" si="18"/>
        <v>0</v>
      </c>
    </row>
    <row r="491" spans="1:19" x14ac:dyDescent="0.25">
      <c r="A491" s="22" t="s">
        <v>188</v>
      </c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29">
        <f t="shared" si="18"/>
        <v>0</v>
      </c>
    </row>
    <row r="492" spans="1:19" x14ac:dyDescent="0.25">
      <c r="A492" s="46"/>
      <c r="B492" s="46"/>
      <c r="C492" s="46"/>
      <c r="D492" s="46"/>
      <c r="E492" s="46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29">
        <f t="shared" si="18"/>
        <v>0</v>
      </c>
    </row>
    <row r="493" spans="1:19" x14ac:dyDescent="0.25">
      <c r="B493" s="38" t="s">
        <v>12</v>
      </c>
      <c r="F493" s="58">
        <f>SUM(H493:L493)</f>
        <v>16057000</v>
      </c>
      <c r="G493" s="7"/>
      <c r="H493" s="36">
        <v>2399000</v>
      </c>
      <c r="I493" s="33"/>
      <c r="J493" s="36">
        <v>13642000</v>
      </c>
      <c r="K493" s="33"/>
      <c r="L493" s="36">
        <v>16000</v>
      </c>
      <c r="M493" s="33"/>
      <c r="N493" s="36">
        <v>9588000</v>
      </c>
      <c r="O493" s="33"/>
      <c r="P493" s="36">
        <v>6469000</v>
      </c>
      <c r="Q493" s="33"/>
      <c r="R493" s="36">
        <v>0</v>
      </c>
      <c r="S493" s="29">
        <f t="shared" si="18"/>
        <v>0</v>
      </c>
    </row>
    <row r="494" spans="1:19" x14ac:dyDescent="0.25">
      <c r="A494" s="46"/>
      <c r="B494" s="46"/>
      <c r="C494" s="46"/>
      <c r="D494" s="46"/>
      <c r="E494" s="46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29">
        <f t="shared" si="18"/>
        <v>0</v>
      </c>
    </row>
    <row r="495" spans="1:19" x14ac:dyDescent="0.25">
      <c r="A495" s="22" t="s">
        <v>189</v>
      </c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29">
        <f t="shared" si="18"/>
        <v>0</v>
      </c>
    </row>
    <row r="496" spans="1:19" x14ac:dyDescent="0.25">
      <c r="A496" s="46"/>
      <c r="B496" s="46"/>
      <c r="C496" s="46"/>
      <c r="D496" s="46"/>
      <c r="E496" s="46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29">
        <f t="shared" si="18"/>
        <v>0</v>
      </c>
    </row>
    <row r="497" spans="1:19" x14ac:dyDescent="0.25">
      <c r="B497" s="38" t="s">
        <v>12</v>
      </c>
      <c r="F497" s="58">
        <f>SUM(H497:L497)</f>
        <v>33954000</v>
      </c>
      <c r="G497" s="7"/>
      <c r="H497" s="36">
        <v>0</v>
      </c>
      <c r="I497" s="33"/>
      <c r="J497" s="36">
        <f>33888000+1000</f>
        <v>33889000</v>
      </c>
      <c r="K497" s="33"/>
      <c r="L497" s="36">
        <v>65000</v>
      </c>
      <c r="M497" s="33"/>
      <c r="N497" s="36">
        <v>15153000</v>
      </c>
      <c r="O497" s="33"/>
      <c r="P497" s="36">
        <v>18801000</v>
      </c>
      <c r="Q497" s="33"/>
      <c r="R497" s="36">
        <v>0</v>
      </c>
      <c r="S497" s="29">
        <f t="shared" si="18"/>
        <v>0</v>
      </c>
    </row>
    <row r="498" spans="1:19" x14ac:dyDescent="0.25">
      <c r="A498" s="46"/>
      <c r="B498" s="46"/>
      <c r="C498" s="46"/>
      <c r="D498" s="46"/>
      <c r="E498" s="46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29">
        <f t="shared" si="18"/>
        <v>0</v>
      </c>
    </row>
    <row r="499" spans="1:19" x14ac:dyDescent="0.25">
      <c r="A499" s="22" t="s">
        <v>190</v>
      </c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29">
        <f t="shared" si="18"/>
        <v>0</v>
      </c>
    </row>
    <row r="500" spans="1:19" x14ac:dyDescent="0.25">
      <c r="A500" s="46"/>
      <c r="B500" s="46"/>
      <c r="C500" s="46"/>
      <c r="D500" s="46"/>
      <c r="E500" s="46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29">
        <f t="shared" si="18"/>
        <v>0</v>
      </c>
    </row>
    <row r="501" spans="1:19" x14ac:dyDescent="0.25">
      <c r="B501" s="38" t="s">
        <v>12</v>
      </c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29">
        <f t="shared" si="18"/>
        <v>0</v>
      </c>
    </row>
    <row r="502" spans="1:19" x14ac:dyDescent="0.25">
      <c r="C502" s="30" t="s">
        <v>191</v>
      </c>
      <c r="D502" s="30"/>
      <c r="E502" s="34"/>
      <c r="F502" s="18">
        <f>SUM(H502:L502)</f>
        <v>14000</v>
      </c>
      <c r="G502" s="35"/>
      <c r="H502" s="33">
        <v>0</v>
      </c>
      <c r="I502" s="57"/>
      <c r="J502" s="33">
        <v>0</v>
      </c>
      <c r="K502" s="57"/>
      <c r="L502" s="33">
        <v>14000</v>
      </c>
      <c r="M502" s="57"/>
      <c r="N502" s="33">
        <v>4000</v>
      </c>
      <c r="O502" s="57"/>
      <c r="P502" s="33">
        <v>10000</v>
      </c>
      <c r="Q502" s="57"/>
      <c r="R502" s="33">
        <v>0</v>
      </c>
      <c r="S502" s="29">
        <f t="shared" si="18"/>
        <v>0</v>
      </c>
    </row>
    <row r="503" spans="1:19" x14ac:dyDescent="0.25">
      <c r="C503" s="30" t="s">
        <v>193</v>
      </c>
      <c r="D503" s="30"/>
      <c r="E503" s="34"/>
      <c r="F503" s="18">
        <f>SUM(H503:L503)</f>
        <v>222000</v>
      </c>
      <c r="G503" s="35"/>
      <c r="H503" s="33">
        <v>150000</v>
      </c>
      <c r="I503" s="57"/>
      <c r="J503" s="33">
        <v>1000</v>
      </c>
      <c r="K503" s="57"/>
      <c r="L503" s="33">
        <v>71000</v>
      </c>
      <c r="M503" s="57"/>
      <c r="N503" s="33">
        <v>116000</v>
      </c>
      <c r="O503" s="57"/>
      <c r="P503" s="33">
        <v>106000</v>
      </c>
      <c r="Q503" s="57"/>
      <c r="R503" s="33">
        <v>0</v>
      </c>
      <c r="S503" s="29">
        <f t="shared" si="18"/>
        <v>0</v>
      </c>
    </row>
    <row r="504" spans="1:19" x14ac:dyDescent="0.25">
      <c r="C504" s="30" t="s">
        <v>194</v>
      </c>
      <c r="D504" s="30"/>
      <c r="E504" s="34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>
        <f t="shared" si="18"/>
        <v>0</v>
      </c>
    </row>
    <row r="505" spans="1:19" x14ac:dyDescent="0.25">
      <c r="C505" s="30"/>
      <c r="D505" s="30"/>
      <c r="E505" s="34" t="s">
        <v>195</v>
      </c>
      <c r="F505" s="18">
        <f t="shared" ref="F505:F512" si="20">SUM(H505:L505)</f>
        <v>599000</v>
      </c>
      <c r="G505" s="35"/>
      <c r="H505" s="33">
        <v>434000</v>
      </c>
      <c r="I505" s="57"/>
      <c r="J505" s="33">
        <v>-368000</v>
      </c>
      <c r="K505" s="57"/>
      <c r="L505" s="33">
        <v>533000</v>
      </c>
      <c r="M505" s="57"/>
      <c r="N505" s="33">
        <v>313000</v>
      </c>
      <c r="O505" s="57"/>
      <c r="P505" s="33">
        <v>286000</v>
      </c>
      <c r="Q505" s="57"/>
      <c r="R505" s="33">
        <v>0</v>
      </c>
      <c r="S505" s="29">
        <f t="shared" si="18"/>
        <v>0</v>
      </c>
    </row>
    <row r="506" spans="1:19" x14ac:dyDescent="0.25">
      <c r="C506" s="30" t="s">
        <v>196</v>
      </c>
      <c r="D506" s="30"/>
      <c r="E506" s="34"/>
      <c r="F506" s="18">
        <f t="shared" si="20"/>
        <v>24000</v>
      </c>
      <c r="G506" s="35"/>
      <c r="H506" s="33">
        <v>0</v>
      </c>
      <c r="I506" s="57"/>
      <c r="J506" s="33">
        <f>12000+1000</f>
        <v>13000</v>
      </c>
      <c r="K506" s="57"/>
      <c r="L506" s="33">
        <v>11000</v>
      </c>
      <c r="M506" s="57"/>
      <c r="N506" s="33">
        <v>4000</v>
      </c>
      <c r="O506" s="57"/>
      <c r="P506" s="33">
        <v>20000</v>
      </c>
      <c r="Q506" s="57"/>
      <c r="R506" s="33">
        <v>0</v>
      </c>
      <c r="S506" s="29">
        <f t="shared" si="18"/>
        <v>0</v>
      </c>
    </row>
    <row r="507" spans="1:19" x14ac:dyDescent="0.25">
      <c r="C507" s="30" t="s">
        <v>197</v>
      </c>
      <c r="D507" s="30"/>
      <c r="E507" s="34"/>
      <c r="F507" s="18">
        <f t="shared" si="20"/>
        <v>326000</v>
      </c>
      <c r="G507" s="35"/>
      <c r="H507" s="33">
        <v>186000</v>
      </c>
      <c r="I507" s="57"/>
      <c r="J507" s="33">
        <v>13000</v>
      </c>
      <c r="K507" s="57"/>
      <c r="L507" s="33">
        <v>127000</v>
      </c>
      <c r="M507" s="57"/>
      <c r="N507" s="33">
        <v>167000</v>
      </c>
      <c r="O507" s="57"/>
      <c r="P507" s="33">
        <v>159000</v>
      </c>
      <c r="Q507" s="57"/>
      <c r="R507" s="33">
        <v>0</v>
      </c>
      <c r="S507" s="29">
        <f t="shared" si="18"/>
        <v>0</v>
      </c>
    </row>
    <row r="508" spans="1:19" x14ac:dyDescent="0.25">
      <c r="C508" s="30" t="s">
        <v>198</v>
      </c>
      <c r="D508" s="30"/>
      <c r="E508" s="34"/>
      <c r="F508" s="18">
        <f t="shared" si="20"/>
        <v>2000</v>
      </c>
      <c r="G508" s="35"/>
      <c r="H508" s="33">
        <v>2000</v>
      </c>
      <c r="I508" s="57"/>
      <c r="J508" s="33">
        <v>0</v>
      </c>
      <c r="K508" s="57"/>
      <c r="L508" s="33">
        <v>0</v>
      </c>
      <c r="M508" s="57"/>
      <c r="N508" s="33">
        <v>0</v>
      </c>
      <c r="O508" s="57"/>
      <c r="P508" s="33">
        <v>2000</v>
      </c>
      <c r="Q508" s="57"/>
      <c r="R508" s="33">
        <v>0</v>
      </c>
      <c r="S508" s="29">
        <f t="shared" si="18"/>
        <v>0</v>
      </c>
    </row>
    <row r="509" spans="1:19" x14ac:dyDescent="0.25">
      <c r="C509" s="30" t="s">
        <v>199</v>
      </c>
      <c r="D509" s="30"/>
      <c r="E509" s="34"/>
      <c r="F509" s="18">
        <f t="shared" si="20"/>
        <v>1000</v>
      </c>
      <c r="G509" s="35"/>
      <c r="H509" s="33">
        <v>0</v>
      </c>
      <c r="I509" s="57"/>
      <c r="J509" s="33">
        <v>0</v>
      </c>
      <c r="K509" s="57"/>
      <c r="L509" s="33">
        <v>1000</v>
      </c>
      <c r="M509" s="57"/>
      <c r="N509" s="33">
        <v>1000</v>
      </c>
      <c r="O509" s="57"/>
      <c r="P509" s="33">
        <v>0</v>
      </c>
      <c r="Q509" s="57"/>
      <c r="R509" s="33">
        <v>0</v>
      </c>
      <c r="S509" s="29">
        <f t="shared" si="18"/>
        <v>0</v>
      </c>
    </row>
    <row r="510" spans="1:19" x14ac:dyDescent="0.25">
      <c r="C510" s="30" t="s">
        <v>200</v>
      </c>
      <c r="D510" s="30"/>
      <c r="E510" s="34"/>
      <c r="F510" s="18">
        <f t="shared" si="20"/>
        <v>1263000</v>
      </c>
      <c r="G510" s="35"/>
      <c r="H510" s="33">
        <v>1221000</v>
      </c>
      <c r="I510" s="57"/>
      <c r="J510" s="33">
        <v>5000</v>
      </c>
      <c r="K510" s="57"/>
      <c r="L510" s="33">
        <v>37000</v>
      </c>
      <c r="M510" s="57"/>
      <c r="N510" s="33">
        <v>873000</v>
      </c>
      <c r="O510" s="57"/>
      <c r="P510" s="33">
        <v>390000</v>
      </c>
      <c r="Q510" s="57"/>
      <c r="R510" s="33">
        <v>0</v>
      </c>
      <c r="S510" s="29">
        <f t="shared" si="18"/>
        <v>0</v>
      </c>
    </row>
    <row r="511" spans="1:19" x14ac:dyDescent="0.25">
      <c r="C511" s="30" t="s">
        <v>243</v>
      </c>
      <c r="D511" s="30"/>
      <c r="E511" s="34"/>
      <c r="F511" s="18">
        <f t="shared" si="20"/>
        <v>22000</v>
      </c>
      <c r="G511" s="35"/>
      <c r="H511" s="33">
        <v>0</v>
      </c>
      <c r="I511" s="57"/>
      <c r="J511" s="33">
        <v>11000</v>
      </c>
      <c r="K511" s="57"/>
      <c r="L511" s="33">
        <v>11000</v>
      </c>
      <c r="M511" s="57"/>
      <c r="N511" s="33">
        <v>0</v>
      </c>
      <c r="O511" s="57"/>
      <c r="P511" s="33">
        <v>22000</v>
      </c>
      <c r="Q511" s="57"/>
      <c r="R511" s="33">
        <v>0</v>
      </c>
      <c r="S511" s="29">
        <f t="shared" si="18"/>
        <v>0</v>
      </c>
    </row>
    <row r="512" spans="1:19" x14ac:dyDescent="0.25">
      <c r="B512" s="29"/>
      <c r="C512" s="30" t="s">
        <v>201</v>
      </c>
      <c r="D512" s="30"/>
      <c r="E512" s="38"/>
      <c r="F512" s="18">
        <f t="shared" si="20"/>
        <v>2034000</v>
      </c>
      <c r="G512" s="35"/>
      <c r="H512" s="33">
        <v>1373000</v>
      </c>
      <c r="I512" s="57"/>
      <c r="J512" s="33">
        <v>288000</v>
      </c>
      <c r="K512" s="57"/>
      <c r="L512" s="33">
        <v>373000</v>
      </c>
      <c r="M512" s="57"/>
      <c r="N512" s="33">
        <v>1321000</v>
      </c>
      <c r="O512" s="57"/>
      <c r="P512" s="33">
        <v>713000</v>
      </c>
      <c r="Q512" s="57"/>
      <c r="R512" s="33">
        <v>0</v>
      </c>
      <c r="S512" s="29">
        <f t="shared" ref="S512:S575" si="21">+F512-N512-P512+R512</f>
        <v>0</v>
      </c>
    </row>
    <row r="513" spans="2:19" x14ac:dyDescent="0.25">
      <c r="B513" s="29"/>
      <c r="C513" s="30" t="s">
        <v>248</v>
      </c>
      <c r="D513" s="30"/>
      <c r="E513" s="38"/>
      <c r="G513" s="35"/>
      <c r="H513" s="33"/>
      <c r="I513" s="57"/>
      <c r="J513" s="33"/>
      <c r="K513" s="57"/>
      <c r="L513" s="33"/>
      <c r="M513" s="57"/>
      <c r="N513" s="33"/>
      <c r="O513" s="57"/>
      <c r="P513" s="33"/>
      <c r="Q513" s="57"/>
      <c r="R513" s="33"/>
      <c r="S513" s="29">
        <f t="shared" si="21"/>
        <v>0</v>
      </c>
    </row>
    <row r="514" spans="2:19" x14ac:dyDescent="0.25">
      <c r="B514" s="29"/>
      <c r="C514" s="30"/>
      <c r="D514" s="30"/>
      <c r="E514" s="38" t="s">
        <v>48</v>
      </c>
      <c r="F514" s="18">
        <f>SUM(H514:L514)</f>
        <v>24000</v>
      </c>
      <c r="G514" s="35"/>
      <c r="H514" s="33">
        <f>1000+1000</f>
        <v>2000</v>
      </c>
      <c r="I514" s="57"/>
      <c r="J514" s="33">
        <v>0</v>
      </c>
      <c r="K514" s="57"/>
      <c r="L514" s="33">
        <v>22000</v>
      </c>
      <c r="M514" s="57"/>
      <c r="N514" s="33">
        <v>6000</v>
      </c>
      <c r="O514" s="57"/>
      <c r="P514" s="33">
        <v>18000</v>
      </c>
      <c r="Q514" s="57"/>
      <c r="R514" s="33"/>
      <c r="S514" s="29">
        <f t="shared" si="21"/>
        <v>0</v>
      </c>
    </row>
    <row r="515" spans="2:19" x14ac:dyDescent="0.25">
      <c r="C515" s="30" t="s">
        <v>202</v>
      </c>
      <c r="D515" s="30"/>
      <c r="E515" s="34"/>
      <c r="F515" s="18">
        <f>SUM(H515:L515)</f>
        <v>1000</v>
      </c>
      <c r="G515" s="35"/>
      <c r="H515" s="33">
        <v>0</v>
      </c>
      <c r="I515" s="57"/>
      <c r="J515" s="33">
        <v>0</v>
      </c>
      <c r="K515" s="57"/>
      <c r="L515" s="33">
        <v>1000</v>
      </c>
      <c r="M515" s="57"/>
      <c r="N515" s="33">
        <v>0</v>
      </c>
      <c r="O515" s="57"/>
      <c r="P515" s="33">
        <v>1000</v>
      </c>
      <c r="Q515" s="57"/>
      <c r="R515" s="33">
        <v>0</v>
      </c>
      <c r="S515" s="29">
        <f t="shared" si="21"/>
        <v>0</v>
      </c>
    </row>
    <row r="516" spans="2:19" x14ac:dyDescent="0.25">
      <c r="C516" s="30" t="s">
        <v>464</v>
      </c>
      <c r="D516" s="30"/>
      <c r="E516" s="34"/>
      <c r="F516" s="18">
        <f>SUM(H516:L516)</f>
        <v>52000</v>
      </c>
      <c r="G516" s="35"/>
      <c r="H516" s="33">
        <v>0</v>
      </c>
      <c r="I516" s="57"/>
      <c r="J516" s="33">
        <v>0</v>
      </c>
      <c r="K516" s="57"/>
      <c r="L516" s="33">
        <v>52000</v>
      </c>
      <c r="M516" s="57"/>
      <c r="N516" s="33">
        <f>39000+1000</f>
        <v>40000</v>
      </c>
      <c r="O516" s="57"/>
      <c r="P516" s="33">
        <v>12000</v>
      </c>
      <c r="Q516" s="57"/>
      <c r="R516" s="33">
        <v>0</v>
      </c>
      <c r="S516" s="29">
        <f t="shared" si="21"/>
        <v>0</v>
      </c>
    </row>
    <row r="517" spans="2:19" x14ac:dyDescent="0.25">
      <c r="C517" s="30" t="s">
        <v>203</v>
      </c>
      <c r="D517" s="30"/>
      <c r="E517" s="34"/>
      <c r="G517" s="7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29">
        <f t="shared" si="21"/>
        <v>0</v>
      </c>
    </row>
    <row r="518" spans="2:19" x14ac:dyDescent="0.25">
      <c r="E518" s="30" t="s">
        <v>48</v>
      </c>
      <c r="F518" s="18">
        <f t="shared" ref="F518:F525" si="22">SUM(H518:L518)</f>
        <v>0</v>
      </c>
      <c r="G518" s="35"/>
      <c r="H518" s="33">
        <v>0</v>
      </c>
      <c r="I518" s="57"/>
      <c r="J518" s="33">
        <v>0</v>
      </c>
      <c r="K518" s="57"/>
      <c r="L518" s="33">
        <v>0</v>
      </c>
      <c r="M518" s="57"/>
      <c r="N518" s="33">
        <v>0</v>
      </c>
      <c r="O518" s="57"/>
      <c r="P518" s="33">
        <v>0</v>
      </c>
      <c r="Q518" s="57"/>
      <c r="R518" s="33">
        <v>0</v>
      </c>
      <c r="S518" s="29">
        <f t="shared" si="21"/>
        <v>0</v>
      </c>
    </row>
    <row r="519" spans="2:19" x14ac:dyDescent="0.25">
      <c r="C519" s="38" t="s">
        <v>259</v>
      </c>
      <c r="F519" s="18">
        <f t="shared" si="22"/>
        <v>34000</v>
      </c>
      <c r="G519" s="35"/>
      <c r="H519" s="33">
        <v>0</v>
      </c>
      <c r="I519" s="57"/>
      <c r="J519" s="33">
        <v>18000</v>
      </c>
      <c r="K519" s="57"/>
      <c r="L519" s="33">
        <v>16000</v>
      </c>
      <c r="M519" s="57"/>
      <c r="N519" s="33">
        <v>25000</v>
      </c>
      <c r="O519" s="57"/>
      <c r="P519" s="33">
        <v>9000</v>
      </c>
      <c r="Q519" s="57"/>
      <c r="R519" s="33">
        <v>0</v>
      </c>
      <c r="S519" s="29">
        <f t="shared" si="21"/>
        <v>0</v>
      </c>
    </row>
    <row r="520" spans="2:19" x14ac:dyDescent="0.25">
      <c r="C520" s="38" t="s">
        <v>262</v>
      </c>
      <c r="F520" s="18">
        <f t="shared" si="22"/>
        <v>1000</v>
      </c>
      <c r="G520" s="35"/>
      <c r="H520" s="33">
        <v>0</v>
      </c>
      <c r="I520" s="57"/>
      <c r="J520" s="33">
        <v>1000</v>
      </c>
      <c r="K520" s="57"/>
      <c r="L520" s="33">
        <v>0</v>
      </c>
      <c r="M520" s="57"/>
      <c r="N520" s="33">
        <v>0</v>
      </c>
      <c r="O520" s="57"/>
      <c r="P520" s="33">
        <v>1000</v>
      </c>
      <c r="Q520" s="57"/>
      <c r="R520" s="33">
        <v>0</v>
      </c>
      <c r="S520" s="29">
        <f t="shared" si="21"/>
        <v>0</v>
      </c>
    </row>
    <row r="521" spans="2:19" x14ac:dyDescent="0.25">
      <c r="C521" s="30" t="s">
        <v>204</v>
      </c>
      <c r="D521" s="30"/>
      <c r="E521" s="34"/>
      <c r="F521" s="18">
        <f t="shared" si="22"/>
        <v>3000</v>
      </c>
      <c r="G521" s="35"/>
      <c r="H521" s="33">
        <v>0</v>
      </c>
      <c r="I521" s="57"/>
      <c r="J521" s="33">
        <v>2000</v>
      </c>
      <c r="K521" s="57"/>
      <c r="L521" s="33">
        <v>1000</v>
      </c>
      <c r="M521" s="57"/>
      <c r="N521" s="33">
        <v>1000</v>
      </c>
      <c r="O521" s="57"/>
      <c r="P521" s="33">
        <v>2000</v>
      </c>
      <c r="Q521" s="57"/>
      <c r="R521" s="33">
        <v>0</v>
      </c>
      <c r="S521" s="29">
        <f t="shared" si="21"/>
        <v>0</v>
      </c>
    </row>
    <row r="522" spans="2:19" x14ac:dyDescent="0.25">
      <c r="C522" s="30" t="s">
        <v>205</v>
      </c>
      <c r="D522" s="30"/>
      <c r="E522" s="34"/>
      <c r="F522" s="18">
        <f t="shared" si="22"/>
        <v>-345000</v>
      </c>
      <c r="G522" s="35"/>
      <c r="H522" s="33">
        <v>-32165000</v>
      </c>
      <c r="I522" s="57"/>
      <c r="J522" s="33">
        <v>23189000</v>
      </c>
      <c r="K522" s="57"/>
      <c r="L522" s="33">
        <v>8631000</v>
      </c>
      <c r="M522" s="57"/>
      <c r="N522" s="33">
        <v>1129000</v>
      </c>
      <c r="O522" s="57"/>
      <c r="P522" s="33">
        <v>-1474000</v>
      </c>
      <c r="Q522" s="57"/>
      <c r="R522" s="33">
        <v>0</v>
      </c>
      <c r="S522" s="29">
        <f t="shared" si="21"/>
        <v>0</v>
      </c>
    </row>
    <row r="523" spans="2:19" x14ac:dyDescent="0.25">
      <c r="C523" s="30" t="s">
        <v>206</v>
      </c>
      <c r="D523" s="30"/>
      <c r="E523" s="34"/>
      <c r="F523" s="18">
        <f t="shared" si="22"/>
        <v>344000</v>
      </c>
      <c r="G523" s="35"/>
      <c r="H523" s="33">
        <v>0</v>
      </c>
      <c r="I523" s="57"/>
      <c r="J523" s="33">
        <v>0</v>
      </c>
      <c r="K523" s="57"/>
      <c r="L523" s="33">
        <v>344000</v>
      </c>
      <c r="M523" s="57"/>
      <c r="N523" s="33">
        <f>201000+1000</f>
        <v>202000</v>
      </c>
      <c r="O523" s="57"/>
      <c r="P523" s="33">
        <v>142000</v>
      </c>
      <c r="Q523" s="57"/>
      <c r="R523" s="33">
        <v>0</v>
      </c>
      <c r="S523" s="29">
        <f t="shared" si="21"/>
        <v>0</v>
      </c>
    </row>
    <row r="524" spans="2:19" x14ac:dyDescent="0.25">
      <c r="C524" s="30" t="s">
        <v>272</v>
      </c>
      <c r="D524" s="30"/>
      <c r="E524" s="34"/>
      <c r="F524" s="18">
        <f t="shared" si="22"/>
        <v>20000</v>
      </c>
      <c r="G524" s="35"/>
      <c r="H524" s="33">
        <v>12000</v>
      </c>
      <c r="I524" s="57"/>
      <c r="J524" s="33">
        <v>0</v>
      </c>
      <c r="K524" s="57"/>
      <c r="L524" s="33">
        <v>8000</v>
      </c>
      <c r="M524" s="57"/>
      <c r="N524" s="33">
        <v>0</v>
      </c>
      <c r="O524" s="57"/>
      <c r="P524" s="33">
        <v>20000</v>
      </c>
      <c r="Q524" s="57"/>
      <c r="R524" s="33">
        <v>0</v>
      </c>
      <c r="S524" s="29">
        <f t="shared" si="21"/>
        <v>0</v>
      </c>
    </row>
    <row r="525" spans="2:19" x14ac:dyDescent="0.25">
      <c r="C525" s="30" t="s">
        <v>465</v>
      </c>
      <c r="D525" s="30"/>
      <c r="E525" s="34"/>
      <c r="F525" s="18">
        <f t="shared" si="22"/>
        <v>116000</v>
      </c>
      <c r="G525" s="35"/>
      <c r="H525" s="33">
        <v>0</v>
      </c>
      <c r="I525" s="57"/>
      <c r="J525" s="33">
        <v>0</v>
      </c>
      <c r="K525" s="57"/>
      <c r="L525" s="33">
        <v>116000</v>
      </c>
      <c r="M525" s="57"/>
      <c r="N525" s="33">
        <v>110000</v>
      </c>
      <c r="O525" s="57"/>
      <c r="P525" s="33">
        <v>6000</v>
      </c>
      <c r="Q525" s="57"/>
      <c r="R525" s="33">
        <v>0</v>
      </c>
      <c r="S525" s="29">
        <f t="shared" si="21"/>
        <v>0</v>
      </c>
    </row>
    <row r="526" spans="2:19" x14ac:dyDescent="0.25">
      <c r="B526" s="29"/>
      <c r="C526" s="30" t="s">
        <v>208</v>
      </c>
      <c r="D526" s="30"/>
      <c r="E526" s="38"/>
      <c r="G526" s="7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29">
        <f t="shared" si="21"/>
        <v>0</v>
      </c>
    </row>
    <row r="527" spans="2:19" x14ac:dyDescent="0.25">
      <c r="B527" s="29"/>
      <c r="C527" s="30"/>
      <c r="D527" s="30"/>
      <c r="E527" s="38" t="s">
        <v>209</v>
      </c>
      <c r="F527" s="18">
        <f>SUM(H527:L527)</f>
        <v>204000</v>
      </c>
      <c r="G527" s="35"/>
      <c r="H527" s="33">
        <v>52000</v>
      </c>
      <c r="I527" s="57"/>
      <c r="J527" s="33">
        <f>110000+1000</f>
        <v>111000</v>
      </c>
      <c r="K527" s="57"/>
      <c r="L527" s="33">
        <v>41000</v>
      </c>
      <c r="M527" s="57"/>
      <c r="N527" s="33">
        <v>84000</v>
      </c>
      <c r="O527" s="57"/>
      <c r="P527" s="33">
        <v>120000</v>
      </c>
      <c r="Q527" s="57"/>
      <c r="R527" s="33">
        <v>0</v>
      </c>
      <c r="S527" s="29">
        <f t="shared" si="21"/>
        <v>0</v>
      </c>
    </row>
    <row r="528" spans="2:19" x14ac:dyDescent="0.25">
      <c r="C528" s="30" t="s">
        <v>210</v>
      </c>
      <c r="D528" s="30"/>
      <c r="E528" s="34"/>
      <c r="F528" s="18">
        <f>SUM(H528:L528)</f>
        <v>-751000</v>
      </c>
      <c r="G528" s="35"/>
      <c r="H528" s="33">
        <v>-772000</v>
      </c>
      <c r="I528" s="57"/>
      <c r="J528" s="33">
        <f>250000-1000</f>
        <v>249000</v>
      </c>
      <c r="K528" s="57"/>
      <c r="L528" s="33">
        <f>-229000+1000</f>
        <v>-228000</v>
      </c>
      <c r="M528" s="57"/>
      <c r="N528" s="33">
        <f>-713000-1000</f>
        <v>-714000</v>
      </c>
      <c r="O528" s="57"/>
      <c r="P528" s="33">
        <v>-37000</v>
      </c>
      <c r="Q528" s="57"/>
      <c r="R528" s="33">
        <v>0</v>
      </c>
      <c r="S528" s="29">
        <f t="shared" si="21"/>
        <v>0</v>
      </c>
    </row>
    <row r="529" spans="1:19" ht="15" customHeight="1" x14ac:dyDescent="0.25">
      <c r="C529" s="30" t="s">
        <v>211</v>
      </c>
      <c r="D529" s="30"/>
      <c r="E529" s="34"/>
      <c r="F529" s="58">
        <f>SUM(H529:L529)</f>
        <v>0</v>
      </c>
      <c r="G529" s="7"/>
      <c r="H529" s="36">
        <v>-189133000</v>
      </c>
      <c r="I529" s="33"/>
      <c r="J529" s="36">
        <v>189133000</v>
      </c>
      <c r="K529" s="33"/>
      <c r="L529" s="36">
        <v>0</v>
      </c>
      <c r="M529" s="33"/>
      <c r="N529" s="36">
        <v>0</v>
      </c>
      <c r="O529" s="33"/>
      <c r="P529" s="36">
        <v>0</v>
      </c>
      <c r="Q529" s="33"/>
      <c r="R529" s="36">
        <v>0</v>
      </c>
      <c r="S529" s="29">
        <f t="shared" si="21"/>
        <v>0</v>
      </c>
    </row>
    <row r="530" spans="1:19" ht="15" customHeight="1" x14ac:dyDescent="0.25"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29">
        <f t="shared" si="21"/>
        <v>0</v>
      </c>
    </row>
    <row r="531" spans="1:19" x14ac:dyDescent="0.25">
      <c r="E531" s="30" t="s">
        <v>2</v>
      </c>
      <c r="F531" s="58">
        <f>SUM(H531:L531)</f>
        <v>4210000</v>
      </c>
      <c r="G531" s="7"/>
      <c r="H531" s="58">
        <f>SUM(H502:H530)</f>
        <v>-218638000</v>
      </c>
      <c r="I531" s="18"/>
      <c r="J531" s="58">
        <f>SUM(J502:J530)</f>
        <v>212666000</v>
      </c>
      <c r="K531" s="18"/>
      <c r="L531" s="58">
        <f>SUM(L502:L530)</f>
        <v>10182000</v>
      </c>
      <c r="M531" s="18"/>
      <c r="N531" s="58">
        <f>SUM(N502:N530)</f>
        <v>3682000</v>
      </c>
      <c r="O531" s="18"/>
      <c r="P531" s="58">
        <f>SUM(P502:P530)</f>
        <v>528000</v>
      </c>
      <c r="Q531" s="18"/>
      <c r="R531" s="58">
        <f>SUM(R502:R530)</f>
        <v>0</v>
      </c>
      <c r="S531" s="29">
        <f t="shared" si="21"/>
        <v>0</v>
      </c>
    </row>
    <row r="532" spans="1:19" x14ac:dyDescent="0.25">
      <c r="A532" s="46"/>
      <c r="B532" s="46"/>
      <c r="C532" s="46"/>
      <c r="D532" s="46"/>
      <c r="E532" s="46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29">
        <f t="shared" si="21"/>
        <v>0</v>
      </c>
    </row>
    <row r="533" spans="1:19" x14ac:dyDescent="0.25">
      <c r="B533" s="38" t="s">
        <v>23</v>
      </c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29">
        <f t="shared" si="21"/>
        <v>0</v>
      </c>
    </row>
    <row r="534" spans="1:19" x14ac:dyDescent="0.25">
      <c r="C534" s="30" t="s">
        <v>212</v>
      </c>
      <c r="D534" s="30"/>
      <c r="E534" s="34"/>
      <c r="F534" s="18">
        <f>SUM(H534:L534)</f>
        <v>296000</v>
      </c>
      <c r="G534" s="35"/>
      <c r="H534" s="33">
        <v>2000</v>
      </c>
      <c r="I534" s="57"/>
      <c r="J534" s="33">
        <f>195000+1000</f>
        <v>196000</v>
      </c>
      <c r="K534" s="57"/>
      <c r="L534" s="33">
        <v>98000</v>
      </c>
      <c r="M534" s="57"/>
      <c r="N534" s="33">
        <v>42000</v>
      </c>
      <c r="O534" s="57"/>
      <c r="P534" s="33">
        <v>254000</v>
      </c>
      <c r="Q534" s="57"/>
      <c r="R534" s="33">
        <v>0</v>
      </c>
      <c r="S534" s="29">
        <f t="shared" si="21"/>
        <v>0</v>
      </c>
    </row>
    <row r="535" spans="1:19" x14ac:dyDescent="0.25">
      <c r="C535" s="30" t="s">
        <v>213</v>
      </c>
      <c r="D535" s="30"/>
      <c r="E535" s="34"/>
      <c r="F535" s="18">
        <f>SUM(H535:L535)</f>
        <v>350000</v>
      </c>
      <c r="G535" s="35"/>
      <c r="H535" s="33">
        <v>174000</v>
      </c>
      <c r="I535" s="57"/>
      <c r="J535" s="33">
        <v>9000</v>
      </c>
      <c r="K535" s="57"/>
      <c r="L535" s="33">
        <v>167000</v>
      </c>
      <c r="M535" s="57"/>
      <c r="N535" s="33">
        <v>192000</v>
      </c>
      <c r="O535" s="57"/>
      <c r="P535" s="33">
        <v>158000</v>
      </c>
      <c r="Q535" s="57"/>
      <c r="R535" s="33">
        <v>0</v>
      </c>
      <c r="S535" s="29">
        <f t="shared" si="21"/>
        <v>0</v>
      </c>
    </row>
    <row r="536" spans="1:19" x14ac:dyDescent="0.25">
      <c r="C536" s="30" t="s">
        <v>214</v>
      </c>
      <c r="D536" s="30"/>
      <c r="E536" s="34"/>
      <c r="F536" s="18">
        <f>SUM(H536:L536)</f>
        <v>140000</v>
      </c>
      <c r="G536" s="35"/>
      <c r="H536" s="33">
        <v>68000</v>
      </c>
      <c r="I536" s="57"/>
      <c r="J536" s="33">
        <v>22000</v>
      </c>
      <c r="K536" s="57"/>
      <c r="L536" s="33">
        <v>50000</v>
      </c>
      <c r="M536" s="57"/>
      <c r="N536" s="33">
        <f>67000+1000</f>
        <v>68000</v>
      </c>
      <c r="O536" s="57"/>
      <c r="P536" s="33">
        <v>72000</v>
      </c>
      <c r="Q536" s="57"/>
      <c r="R536" s="33">
        <v>0</v>
      </c>
      <c r="S536" s="29">
        <f t="shared" si="21"/>
        <v>0</v>
      </c>
    </row>
    <row r="537" spans="1:19" x14ac:dyDescent="0.25">
      <c r="C537" s="30" t="s">
        <v>215</v>
      </c>
      <c r="D537" s="30"/>
      <c r="E537" s="34"/>
      <c r="G537" s="7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29">
        <f t="shared" si="21"/>
        <v>0</v>
      </c>
    </row>
    <row r="538" spans="1:19" x14ac:dyDescent="0.25">
      <c r="C538" s="29"/>
      <c r="D538" s="30"/>
      <c r="E538" s="30" t="s">
        <v>216</v>
      </c>
      <c r="F538" s="18">
        <f>SUM(H538:L538)</f>
        <v>47000</v>
      </c>
      <c r="G538" s="35"/>
      <c r="H538" s="33">
        <v>46000</v>
      </c>
      <c r="I538" s="57"/>
      <c r="J538" s="33">
        <v>0</v>
      </c>
      <c r="K538" s="57"/>
      <c r="L538" s="33">
        <v>1000</v>
      </c>
      <c r="M538" s="57"/>
      <c r="N538" s="33">
        <v>31000</v>
      </c>
      <c r="O538" s="57"/>
      <c r="P538" s="33">
        <v>16000</v>
      </c>
      <c r="Q538" s="57"/>
      <c r="R538" s="33">
        <v>0</v>
      </c>
      <c r="S538" s="29">
        <f t="shared" si="21"/>
        <v>0</v>
      </c>
    </row>
    <row r="539" spans="1:19" x14ac:dyDescent="0.25">
      <c r="C539" s="30" t="s">
        <v>192</v>
      </c>
      <c r="D539" s="30"/>
      <c r="E539" s="34"/>
      <c r="F539" s="18">
        <f>SUM(H539:L539)</f>
        <v>3951000</v>
      </c>
      <c r="G539" s="35"/>
      <c r="H539" s="33">
        <v>537000</v>
      </c>
      <c r="I539" s="57"/>
      <c r="J539" s="33">
        <v>162000</v>
      </c>
      <c r="K539" s="57"/>
      <c r="L539" s="33">
        <v>3252000</v>
      </c>
      <c r="M539" s="57"/>
      <c r="N539" s="33">
        <v>2146000</v>
      </c>
      <c r="O539" s="57"/>
      <c r="P539" s="33">
        <v>1913000</v>
      </c>
      <c r="Q539" s="57"/>
      <c r="R539" s="33">
        <v>108000</v>
      </c>
      <c r="S539" s="29">
        <f t="shared" si="21"/>
        <v>0</v>
      </c>
    </row>
    <row r="540" spans="1:19" x14ac:dyDescent="0.25">
      <c r="C540" s="30" t="s">
        <v>466</v>
      </c>
      <c r="D540" s="30"/>
      <c r="E540" s="34"/>
      <c r="F540" s="18">
        <f>SUM(H540:L540)</f>
        <v>463000</v>
      </c>
      <c r="G540" s="35"/>
      <c r="H540" s="33">
        <v>162000</v>
      </c>
      <c r="I540" s="57"/>
      <c r="J540" s="33">
        <v>264000</v>
      </c>
      <c r="K540" s="57"/>
      <c r="L540" s="33">
        <v>37000</v>
      </c>
      <c r="M540" s="57"/>
      <c r="N540" s="33">
        <v>275000</v>
      </c>
      <c r="O540" s="57"/>
      <c r="P540" s="33">
        <v>188000</v>
      </c>
      <c r="Q540" s="57"/>
      <c r="R540" s="33">
        <v>0</v>
      </c>
      <c r="S540" s="29">
        <f t="shared" si="21"/>
        <v>0</v>
      </c>
    </row>
    <row r="541" spans="1:19" x14ac:dyDescent="0.25">
      <c r="C541" s="30" t="s">
        <v>217</v>
      </c>
      <c r="D541" s="30"/>
      <c r="E541" s="34"/>
      <c r="F541" s="18">
        <f>SUM(H541:L541)</f>
        <v>184000</v>
      </c>
      <c r="G541" s="35"/>
      <c r="H541" s="33">
        <v>149000</v>
      </c>
      <c r="I541" s="57"/>
      <c r="J541" s="33">
        <v>-1000</v>
      </c>
      <c r="K541" s="57"/>
      <c r="L541" s="33">
        <v>36000</v>
      </c>
      <c r="M541" s="57"/>
      <c r="N541" s="33">
        <v>137000</v>
      </c>
      <c r="O541" s="57"/>
      <c r="P541" s="33">
        <v>48000</v>
      </c>
      <c r="Q541" s="57"/>
      <c r="R541" s="33">
        <v>1000</v>
      </c>
      <c r="S541" s="29">
        <f t="shared" si="21"/>
        <v>0</v>
      </c>
    </row>
    <row r="542" spans="1:19" x14ac:dyDescent="0.25">
      <c r="C542" s="30" t="s">
        <v>218</v>
      </c>
      <c r="D542" s="30"/>
      <c r="E542" s="34"/>
      <c r="F542" s="18">
        <f>SUM(H542:L542)</f>
        <v>797000</v>
      </c>
      <c r="G542" s="35"/>
      <c r="H542" s="33">
        <v>0</v>
      </c>
      <c r="I542" s="57"/>
      <c r="J542" s="33">
        <v>306000</v>
      </c>
      <c r="K542" s="57"/>
      <c r="L542" s="33">
        <v>491000</v>
      </c>
      <c r="M542" s="57"/>
      <c r="N542" s="33">
        <v>324000</v>
      </c>
      <c r="O542" s="57"/>
      <c r="P542" s="33">
        <f>488000-1000</f>
        <v>487000</v>
      </c>
      <c r="Q542" s="57"/>
      <c r="R542" s="33">
        <v>14000</v>
      </c>
      <c r="S542" s="29">
        <f t="shared" si="21"/>
        <v>0</v>
      </c>
    </row>
    <row r="543" spans="1:19" x14ac:dyDescent="0.25">
      <c r="C543" s="30" t="s">
        <v>219</v>
      </c>
      <c r="D543" s="30"/>
      <c r="E543" s="34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>
        <f t="shared" si="21"/>
        <v>0</v>
      </c>
    </row>
    <row r="544" spans="1:19" x14ac:dyDescent="0.25">
      <c r="C544" s="30"/>
      <c r="D544" s="30"/>
      <c r="E544" s="34" t="s">
        <v>220</v>
      </c>
      <c r="F544" s="18">
        <f>SUM(H544:L544)</f>
        <v>5202000</v>
      </c>
      <c r="G544" s="35"/>
      <c r="H544" s="33">
        <v>43000</v>
      </c>
      <c r="I544" s="57"/>
      <c r="J544" s="33">
        <v>857000</v>
      </c>
      <c r="K544" s="57"/>
      <c r="L544" s="33">
        <v>4302000</v>
      </c>
      <c r="M544" s="57"/>
      <c r="N544" s="33">
        <v>1365000</v>
      </c>
      <c r="O544" s="57"/>
      <c r="P544" s="33">
        <v>3837000</v>
      </c>
      <c r="Q544" s="57"/>
      <c r="R544" s="33">
        <v>0</v>
      </c>
      <c r="S544" s="29">
        <f t="shared" si="21"/>
        <v>0</v>
      </c>
    </row>
    <row r="545" spans="3:19" x14ac:dyDescent="0.25">
      <c r="C545" s="30" t="s">
        <v>194</v>
      </c>
      <c r="D545" s="30"/>
      <c r="E545" s="34"/>
      <c r="F545" s="21"/>
      <c r="G545" s="29"/>
      <c r="I545" s="29"/>
      <c r="K545" s="29"/>
      <c r="M545" s="29"/>
      <c r="O545" s="29"/>
      <c r="Q545" s="29"/>
      <c r="S545" s="29">
        <f t="shared" si="21"/>
        <v>0</v>
      </c>
    </row>
    <row r="546" spans="3:19" x14ac:dyDescent="0.25">
      <c r="C546" s="30"/>
      <c r="D546" s="30"/>
      <c r="E546" s="34" t="s">
        <v>195</v>
      </c>
      <c r="F546" s="18">
        <f>SUM(H546:L546)</f>
        <v>33147000</v>
      </c>
      <c r="G546" s="35"/>
      <c r="H546" s="33">
        <v>1485000</v>
      </c>
      <c r="I546" s="57"/>
      <c r="J546" s="33">
        <v>2069000</v>
      </c>
      <c r="K546" s="57"/>
      <c r="L546" s="33">
        <v>29593000</v>
      </c>
      <c r="M546" s="57"/>
      <c r="N546" s="33">
        <v>14165000</v>
      </c>
      <c r="O546" s="57"/>
      <c r="P546" s="33">
        <v>19009000</v>
      </c>
      <c r="Q546" s="57"/>
      <c r="R546" s="33">
        <v>27000</v>
      </c>
      <c r="S546" s="29">
        <f t="shared" si="21"/>
        <v>0</v>
      </c>
    </row>
    <row r="547" spans="3:19" x14ac:dyDescent="0.25">
      <c r="C547" s="30" t="s">
        <v>196</v>
      </c>
      <c r="D547" s="30"/>
      <c r="E547" s="34"/>
      <c r="F547" s="18">
        <f>SUM(H547:L547)</f>
        <v>1594000</v>
      </c>
      <c r="G547" s="35"/>
      <c r="H547" s="33">
        <v>835000</v>
      </c>
      <c r="I547" s="57"/>
      <c r="J547" s="33">
        <v>74000</v>
      </c>
      <c r="K547" s="57"/>
      <c r="L547" s="33">
        <v>685000</v>
      </c>
      <c r="M547" s="57"/>
      <c r="N547" s="33">
        <v>888000</v>
      </c>
      <c r="O547" s="57"/>
      <c r="P547" s="33">
        <v>1448000</v>
      </c>
      <c r="Q547" s="57"/>
      <c r="R547" s="33">
        <v>742000</v>
      </c>
      <c r="S547" s="29">
        <f t="shared" si="21"/>
        <v>0</v>
      </c>
    </row>
    <row r="548" spans="3:19" x14ac:dyDescent="0.25">
      <c r="C548" s="30" t="s">
        <v>221</v>
      </c>
      <c r="D548" s="30"/>
      <c r="E548" s="34"/>
      <c r="F548" s="18">
        <f>SUM(H548:L548)</f>
        <v>1005000</v>
      </c>
      <c r="G548" s="35"/>
      <c r="H548" s="33">
        <v>0</v>
      </c>
      <c r="I548" s="57"/>
      <c r="J548" s="33">
        <v>25000</v>
      </c>
      <c r="K548" s="57"/>
      <c r="L548" s="33">
        <v>980000</v>
      </c>
      <c r="M548" s="57"/>
      <c r="N548" s="33">
        <v>431000</v>
      </c>
      <c r="O548" s="57"/>
      <c r="P548" s="33">
        <v>574000</v>
      </c>
      <c r="Q548" s="57"/>
      <c r="R548" s="33">
        <v>0</v>
      </c>
      <c r="S548" s="29">
        <f t="shared" si="21"/>
        <v>0</v>
      </c>
    </row>
    <row r="549" spans="3:19" x14ac:dyDescent="0.25">
      <c r="C549" s="30" t="s">
        <v>222</v>
      </c>
      <c r="D549" s="30"/>
      <c r="E549" s="34"/>
      <c r="G549" s="7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29">
        <f t="shared" si="21"/>
        <v>0</v>
      </c>
    </row>
    <row r="550" spans="3:19" x14ac:dyDescent="0.25">
      <c r="C550" s="29"/>
      <c r="D550" s="30"/>
      <c r="E550" s="34" t="s">
        <v>48</v>
      </c>
      <c r="F550" s="18">
        <f>SUM(H550:L550)</f>
        <v>2780000</v>
      </c>
      <c r="G550" s="35"/>
      <c r="H550" s="33">
        <v>111000</v>
      </c>
      <c r="I550" s="57"/>
      <c r="J550" s="33">
        <f>377000+1000</f>
        <v>378000</v>
      </c>
      <c r="K550" s="57"/>
      <c r="L550" s="33">
        <v>2291000</v>
      </c>
      <c r="M550" s="57"/>
      <c r="N550" s="33">
        <v>1618000</v>
      </c>
      <c r="O550" s="57"/>
      <c r="P550" s="33">
        <v>1162000</v>
      </c>
      <c r="Q550" s="57"/>
      <c r="R550" s="33">
        <v>0</v>
      </c>
      <c r="S550" s="29">
        <f t="shared" si="21"/>
        <v>0</v>
      </c>
    </row>
    <row r="551" spans="3:19" x14ac:dyDescent="0.25">
      <c r="C551" s="30" t="s">
        <v>223</v>
      </c>
      <c r="D551" s="30"/>
      <c r="E551" s="34"/>
      <c r="G551" s="7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29">
        <f t="shared" si="21"/>
        <v>0</v>
      </c>
    </row>
    <row r="552" spans="3:19" x14ac:dyDescent="0.25">
      <c r="C552" s="29"/>
      <c r="D552" s="30"/>
      <c r="E552" s="34" t="s">
        <v>224</v>
      </c>
      <c r="F552" s="18">
        <f>SUM(H552:L552)</f>
        <v>2580000</v>
      </c>
      <c r="G552" s="35"/>
      <c r="H552" s="33">
        <v>888000</v>
      </c>
      <c r="I552" s="57"/>
      <c r="J552" s="33">
        <v>1534000</v>
      </c>
      <c r="K552" s="57"/>
      <c r="L552" s="33">
        <v>158000</v>
      </c>
      <c r="M552" s="57"/>
      <c r="N552" s="33">
        <f>1716000-1000</f>
        <v>1715000</v>
      </c>
      <c r="O552" s="57"/>
      <c r="P552" s="33">
        <v>865000</v>
      </c>
      <c r="Q552" s="57"/>
      <c r="R552" s="33">
        <v>0</v>
      </c>
      <c r="S552" s="29">
        <f t="shared" si="21"/>
        <v>0</v>
      </c>
    </row>
    <row r="553" spans="3:19" x14ac:dyDescent="0.25">
      <c r="C553" s="30" t="s">
        <v>225</v>
      </c>
      <c r="D553" s="30"/>
      <c r="E553" s="34"/>
      <c r="G553" s="7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29">
        <f t="shared" si="21"/>
        <v>0</v>
      </c>
    </row>
    <row r="554" spans="3:19" x14ac:dyDescent="0.25">
      <c r="C554" s="29"/>
      <c r="D554" s="30"/>
      <c r="E554" s="34" t="s">
        <v>226</v>
      </c>
      <c r="F554" s="18">
        <f>SUM(H554:L554)</f>
        <v>59000</v>
      </c>
      <c r="G554" s="35"/>
      <c r="H554" s="33">
        <v>24000</v>
      </c>
      <c r="I554" s="57"/>
      <c r="J554" s="33">
        <v>0</v>
      </c>
      <c r="K554" s="57"/>
      <c r="L554" s="33">
        <v>35000</v>
      </c>
      <c r="M554" s="57"/>
      <c r="N554" s="33">
        <v>24000</v>
      </c>
      <c r="O554" s="57"/>
      <c r="P554" s="33">
        <v>35000</v>
      </c>
      <c r="Q554" s="57"/>
      <c r="R554" s="33">
        <v>0</v>
      </c>
      <c r="S554" s="29">
        <f t="shared" si="21"/>
        <v>0</v>
      </c>
    </row>
    <row r="555" spans="3:19" x14ac:dyDescent="0.25">
      <c r="C555" s="30" t="s">
        <v>227</v>
      </c>
      <c r="D555" s="30"/>
      <c r="E555" s="34"/>
      <c r="G555" s="7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29">
        <f t="shared" si="21"/>
        <v>0</v>
      </c>
    </row>
    <row r="556" spans="3:19" ht="14.25" customHeight="1" x14ac:dyDescent="0.25">
      <c r="E556" s="30" t="s">
        <v>228</v>
      </c>
      <c r="F556" s="18">
        <f>SUM(H556:L556)</f>
        <v>3320000</v>
      </c>
      <c r="G556" s="35"/>
      <c r="H556" s="33">
        <v>0</v>
      </c>
      <c r="I556" s="57"/>
      <c r="J556" s="33">
        <v>12000</v>
      </c>
      <c r="K556" s="57"/>
      <c r="L556" s="33">
        <v>3308000</v>
      </c>
      <c r="M556" s="57"/>
      <c r="N556" s="33">
        <v>2063000</v>
      </c>
      <c r="O556" s="57"/>
      <c r="P556" s="33">
        <v>1257000</v>
      </c>
      <c r="Q556" s="57"/>
      <c r="R556" s="33">
        <v>0</v>
      </c>
      <c r="S556" s="29">
        <f t="shared" si="21"/>
        <v>0</v>
      </c>
    </row>
    <row r="557" spans="3:19" x14ac:dyDescent="0.25">
      <c r="C557" s="30" t="s">
        <v>229</v>
      </c>
      <c r="D557" s="30"/>
      <c r="E557" s="34"/>
      <c r="G557" s="7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29">
        <f t="shared" si="21"/>
        <v>0</v>
      </c>
    </row>
    <row r="558" spans="3:19" x14ac:dyDescent="0.25">
      <c r="C558" s="30"/>
      <c r="D558" s="30"/>
      <c r="E558" s="34" t="s">
        <v>230</v>
      </c>
      <c r="F558" s="18">
        <f>SUM(H558:L558)</f>
        <v>1388000</v>
      </c>
      <c r="G558" s="35"/>
      <c r="H558" s="33">
        <v>620000</v>
      </c>
      <c r="I558" s="57"/>
      <c r="J558" s="33">
        <f>723000-1000</f>
        <v>722000</v>
      </c>
      <c r="K558" s="57"/>
      <c r="L558" s="33">
        <v>46000</v>
      </c>
      <c r="M558" s="57"/>
      <c r="N558" s="33">
        <v>818000</v>
      </c>
      <c r="O558" s="57"/>
      <c r="P558" s="33">
        <v>648000</v>
      </c>
      <c r="Q558" s="57"/>
      <c r="R558" s="33">
        <f>79000-1000</f>
        <v>78000</v>
      </c>
      <c r="S558" s="29">
        <f t="shared" si="21"/>
        <v>0</v>
      </c>
    </row>
    <row r="559" spans="3:19" ht="14.25" customHeight="1" x14ac:dyDescent="0.25">
      <c r="C559" s="30" t="s">
        <v>231</v>
      </c>
      <c r="G559" s="7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29">
        <f t="shared" si="21"/>
        <v>0</v>
      </c>
    </row>
    <row r="560" spans="3:19" x14ac:dyDescent="0.25">
      <c r="C560" s="29"/>
      <c r="E560" s="30" t="s">
        <v>232</v>
      </c>
      <c r="F560" s="18">
        <f>SUM(H560:L560)</f>
        <v>407000</v>
      </c>
      <c r="G560" s="35"/>
      <c r="H560" s="33">
        <v>0</v>
      </c>
      <c r="I560" s="57"/>
      <c r="J560" s="33">
        <v>370000</v>
      </c>
      <c r="K560" s="57"/>
      <c r="L560" s="33">
        <v>37000</v>
      </c>
      <c r="M560" s="57"/>
      <c r="N560" s="33">
        <f>232000-1000</f>
        <v>231000</v>
      </c>
      <c r="O560" s="57"/>
      <c r="P560" s="33">
        <v>176000</v>
      </c>
      <c r="Q560" s="57"/>
      <c r="R560" s="33">
        <v>0</v>
      </c>
      <c r="S560" s="29">
        <f t="shared" si="21"/>
        <v>0</v>
      </c>
    </row>
    <row r="561" spans="3:19" x14ac:dyDescent="0.25">
      <c r="C561" s="30" t="s">
        <v>233</v>
      </c>
      <c r="D561" s="30"/>
      <c r="E561" s="34"/>
      <c r="F561" s="18">
        <f>SUM(H561:L561)</f>
        <v>43000</v>
      </c>
      <c r="G561" s="35"/>
      <c r="H561" s="33">
        <v>33000</v>
      </c>
      <c r="I561" s="57"/>
      <c r="J561" s="33">
        <v>10000</v>
      </c>
      <c r="K561" s="57"/>
      <c r="L561" s="33">
        <v>0</v>
      </c>
      <c r="M561" s="57"/>
      <c r="N561" s="33">
        <v>16000</v>
      </c>
      <c r="O561" s="57"/>
      <c r="P561" s="33">
        <f>26000+1000</f>
        <v>27000</v>
      </c>
      <c r="Q561" s="57"/>
      <c r="R561" s="33">
        <v>0</v>
      </c>
      <c r="S561" s="29">
        <f t="shared" si="21"/>
        <v>0</v>
      </c>
    </row>
    <row r="562" spans="3:19" x14ac:dyDescent="0.25">
      <c r="C562" s="30" t="s">
        <v>234</v>
      </c>
      <c r="D562" s="30"/>
      <c r="E562" s="34"/>
      <c r="F562" s="18">
        <f>SUM(H562:L562)</f>
        <v>80000</v>
      </c>
      <c r="G562" s="35"/>
      <c r="H562" s="33">
        <v>82000</v>
      </c>
      <c r="I562" s="57"/>
      <c r="J562" s="33">
        <v>0</v>
      </c>
      <c r="K562" s="57"/>
      <c r="L562" s="33">
        <v>-2000</v>
      </c>
      <c r="M562" s="57"/>
      <c r="N562" s="33">
        <v>69000</v>
      </c>
      <c r="O562" s="57"/>
      <c r="P562" s="33">
        <v>11000</v>
      </c>
      <c r="Q562" s="57"/>
      <c r="R562" s="33">
        <v>0</v>
      </c>
      <c r="S562" s="29">
        <f t="shared" si="21"/>
        <v>0</v>
      </c>
    </row>
    <row r="563" spans="3:19" x14ac:dyDescent="0.25">
      <c r="C563" s="30" t="s">
        <v>467</v>
      </c>
      <c r="D563" s="30"/>
      <c r="E563" s="34"/>
      <c r="F563" s="18">
        <f>SUM(H563:L563)</f>
        <v>2760000</v>
      </c>
      <c r="G563" s="35"/>
      <c r="H563" s="33">
        <v>53000</v>
      </c>
      <c r="I563" s="57"/>
      <c r="J563" s="33">
        <v>1074000</v>
      </c>
      <c r="K563" s="57"/>
      <c r="L563" s="33">
        <v>1633000</v>
      </c>
      <c r="M563" s="57"/>
      <c r="N563" s="33">
        <v>986000</v>
      </c>
      <c r="O563" s="57"/>
      <c r="P563" s="33">
        <v>1754000</v>
      </c>
      <c r="Q563" s="57"/>
      <c r="R563" s="33">
        <f>-19000-1000</f>
        <v>-20000</v>
      </c>
      <c r="S563" s="29">
        <f t="shared" si="21"/>
        <v>0</v>
      </c>
    </row>
    <row r="564" spans="3:19" x14ac:dyDescent="0.25">
      <c r="C564" s="30" t="s">
        <v>235</v>
      </c>
      <c r="D564" s="30"/>
      <c r="E564" s="34"/>
      <c r="S564" s="29">
        <f t="shared" si="21"/>
        <v>0</v>
      </c>
    </row>
    <row r="565" spans="3:19" x14ac:dyDescent="0.25">
      <c r="C565" s="30" t="s">
        <v>236</v>
      </c>
      <c r="D565" s="30"/>
      <c r="E565" s="34" t="s">
        <v>237</v>
      </c>
      <c r="F565" s="18">
        <f t="shared" ref="F565:F579" si="23">SUM(H565:L565)</f>
        <v>33000</v>
      </c>
      <c r="G565" s="35"/>
      <c r="H565" s="33">
        <v>0</v>
      </c>
      <c r="I565" s="57"/>
      <c r="J565" s="33">
        <v>0</v>
      </c>
      <c r="K565" s="57"/>
      <c r="L565" s="33">
        <v>33000</v>
      </c>
      <c r="M565" s="57"/>
      <c r="N565" s="33">
        <v>23000</v>
      </c>
      <c r="O565" s="57"/>
      <c r="P565" s="33">
        <v>10000</v>
      </c>
      <c r="Q565" s="57"/>
      <c r="R565" s="33">
        <v>0</v>
      </c>
      <c r="S565" s="29">
        <f t="shared" si="21"/>
        <v>0</v>
      </c>
    </row>
    <row r="566" spans="3:19" x14ac:dyDescent="0.25">
      <c r="C566" s="30" t="s">
        <v>238</v>
      </c>
      <c r="D566" s="30"/>
      <c r="E566" s="34"/>
      <c r="F566" s="18">
        <f t="shared" si="23"/>
        <v>316000</v>
      </c>
      <c r="G566" s="35"/>
      <c r="H566" s="33">
        <v>0</v>
      </c>
      <c r="I566" s="57"/>
      <c r="J566" s="33">
        <v>4000</v>
      </c>
      <c r="K566" s="57"/>
      <c r="L566" s="33">
        <v>312000</v>
      </c>
      <c r="M566" s="57"/>
      <c r="N566" s="33">
        <v>28000</v>
      </c>
      <c r="O566" s="57"/>
      <c r="P566" s="33">
        <f>289000-1000</f>
        <v>288000</v>
      </c>
      <c r="Q566" s="57"/>
      <c r="R566" s="33">
        <v>0</v>
      </c>
      <c r="S566" s="29">
        <f t="shared" si="21"/>
        <v>0</v>
      </c>
    </row>
    <row r="567" spans="3:19" x14ac:dyDescent="0.25">
      <c r="C567" s="30" t="s">
        <v>239</v>
      </c>
      <c r="D567" s="30"/>
      <c r="E567" s="34"/>
      <c r="F567" s="18">
        <f t="shared" si="23"/>
        <v>2005000</v>
      </c>
      <c r="G567" s="35"/>
      <c r="H567" s="33">
        <f>412000+1000</f>
        <v>413000</v>
      </c>
      <c r="I567" s="57"/>
      <c r="J567" s="33">
        <v>841000</v>
      </c>
      <c r="K567" s="57"/>
      <c r="L567" s="33">
        <v>751000</v>
      </c>
      <c r="M567" s="57"/>
      <c r="N567" s="33">
        <v>680000</v>
      </c>
      <c r="O567" s="57"/>
      <c r="P567" s="33">
        <v>1557000</v>
      </c>
      <c r="Q567" s="57"/>
      <c r="R567" s="33">
        <v>232000</v>
      </c>
      <c r="S567" s="29">
        <f t="shared" si="21"/>
        <v>0</v>
      </c>
    </row>
    <row r="568" spans="3:19" x14ac:dyDescent="0.25">
      <c r="C568" s="30" t="s">
        <v>240</v>
      </c>
      <c r="D568" s="30"/>
      <c r="E568" s="34"/>
      <c r="F568" s="18">
        <f t="shared" si="23"/>
        <v>136000</v>
      </c>
      <c r="G568" s="35"/>
      <c r="H568" s="33">
        <v>0</v>
      </c>
      <c r="I568" s="57"/>
      <c r="J568" s="33">
        <v>42000</v>
      </c>
      <c r="K568" s="57"/>
      <c r="L568" s="33">
        <v>94000</v>
      </c>
      <c r="M568" s="57"/>
      <c r="N568" s="33">
        <v>29000</v>
      </c>
      <c r="O568" s="57"/>
      <c r="P568" s="33">
        <v>107000</v>
      </c>
      <c r="Q568" s="57"/>
      <c r="R568" s="33">
        <v>0</v>
      </c>
      <c r="S568" s="29">
        <f t="shared" si="21"/>
        <v>0</v>
      </c>
    </row>
    <row r="569" spans="3:19" x14ac:dyDescent="0.25">
      <c r="C569" s="30" t="s">
        <v>199</v>
      </c>
      <c r="D569" s="30"/>
      <c r="E569" s="34"/>
      <c r="F569" s="18">
        <f t="shared" si="23"/>
        <v>192000</v>
      </c>
      <c r="G569" s="35"/>
      <c r="H569" s="33">
        <v>0</v>
      </c>
      <c r="I569" s="57"/>
      <c r="J569" s="33">
        <v>0</v>
      </c>
      <c r="K569" s="57"/>
      <c r="L569" s="33">
        <v>192000</v>
      </c>
      <c r="M569" s="57"/>
      <c r="N569" s="33">
        <v>116000</v>
      </c>
      <c r="O569" s="57"/>
      <c r="P569" s="33">
        <v>76000</v>
      </c>
      <c r="Q569" s="57"/>
      <c r="R569" s="33">
        <v>0</v>
      </c>
      <c r="S569" s="29">
        <f t="shared" si="21"/>
        <v>0</v>
      </c>
    </row>
    <row r="570" spans="3:19" x14ac:dyDescent="0.25">
      <c r="C570" s="30" t="s">
        <v>469</v>
      </c>
      <c r="D570" s="30"/>
      <c r="E570" s="34"/>
      <c r="F570" s="18">
        <f t="shared" si="23"/>
        <v>1055000</v>
      </c>
      <c r="G570" s="35"/>
      <c r="H570" s="33">
        <v>0</v>
      </c>
      <c r="I570" s="57"/>
      <c r="J570" s="33">
        <v>810000</v>
      </c>
      <c r="K570" s="57"/>
      <c r="L570" s="33">
        <f>244000+1000</f>
        <v>245000</v>
      </c>
      <c r="M570" s="57"/>
      <c r="N570" s="33">
        <v>693000</v>
      </c>
      <c r="O570" s="57"/>
      <c r="P570" s="33">
        <v>362000</v>
      </c>
      <c r="Q570" s="57"/>
      <c r="R570" s="33">
        <v>0</v>
      </c>
      <c r="S570" s="29">
        <f t="shared" si="21"/>
        <v>0</v>
      </c>
    </row>
    <row r="571" spans="3:19" x14ac:dyDescent="0.25">
      <c r="C571" s="30" t="s">
        <v>200</v>
      </c>
      <c r="D571" s="30"/>
      <c r="E571" s="34"/>
      <c r="F571" s="18">
        <f t="shared" si="23"/>
        <v>1089000</v>
      </c>
      <c r="G571" s="35"/>
      <c r="H571" s="33">
        <v>104000</v>
      </c>
      <c r="I571" s="57"/>
      <c r="J571" s="33">
        <v>41000</v>
      </c>
      <c r="K571" s="57"/>
      <c r="L571" s="33">
        <v>944000</v>
      </c>
      <c r="M571" s="57"/>
      <c r="N571" s="33">
        <v>599000</v>
      </c>
      <c r="O571" s="57"/>
      <c r="P571" s="33">
        <f>489000+1000</f>
        <v>490000</v>
      </c>
      <c r="Q571" s="57"/>
      <c r="R571" s="33">
        <v>0</v>
      </c>
      <c r="S571" s="29">
        <f t="shared" si="21"/>
        <v>0</v>
      </c>
    </row>
    <row r="572" spans="3:19" x14ac:dyDescent="0.25">
      <c r="C572" s="30" t="s">
        <v>241</v>
      </c>
      <c r="D572" s="30"/>
      <c r="E572" s="34"/>
      <c r="F572" s="18">
        <f t="shared" si="23"/>
        <v>29062000</v>
      </c>
      <c r="G572" s="35"/>
      <c r="H572" s="33">
        <v>-6000</v>
      </c>
      <c r="I572" s="57"/>
      <c r="J572" s="33">
        <v>34000</v>
      </c>
      <c r="K572" s="57"/>
      <c r="L572" s="33">
        <v>29034000</v>
      </c>
      <c r="M572" s="57"/>
      <c r="N572" s="33">
        <f>7035000-1000</f>
        <v>7034000</v>
      </c>
      <c r="O572" s="57"/>
      <c r="P572" s="33">
        <v>22028000</v>
      </c>
      <c r="Q572" s="57"/>
      <c r="R572" s="33">
        <v>0</v>
      </c>
      <c r="S572" s="29">
        <f t="shared" si="21"/>
        <v>0</v>
      </c>
    </row>
    <row r="573" spans="3:19" x14ac:dyDescent="0.25">
      <c r="C573" s="30" t="s">
        <v>242</v>
      </c>
      <c r="D573" s="30"/>
      <c r="E573" s="34"/>
      <c r="F573" s="18">
        <f t="shared" si="23"/>
        <v>1384000</v>
      </c>
      <c r="G573" s="35"/>
      <c r="H573" s="33">
        <v>14000</v>
      </c>
      <c r="I573" s="57"/>
      <c r="J573" s="33">
        <v>18000</v>
      </c>
      <c r="K573" s="57"/>
      <c r="L573" s="33">
        <v>1352000</v>
      </c>
      <c r="M573" s="57"/>
      <c r="N573" s="33">
        <v>933000</v>
      </c>
      <c r="O573" s="57"/>
      <c r="P573" s="33">
        <v>451000</v>
      </c>
      <c r="Q573" s="57"/>
      <c r="R573" s="33">
        <v>0</v>
      </c>
      <c r="S573" s="29">
        <f t="shared" si="21"/>
        <v>0</v>
      </c>
    </row>
    <row r="574" spans="3:19" x14ac:dyDescent="0.25">
      <c r="C574" s="30" t="s">
        <v>243</v>
      </c>
      <c r="D574" s="30"/>
      <c r="E574" s="34"/>
      <c r="F574" s="18">
        <f t="shared" si="23"/>
        <v>155000</v>
      </c>
      <c r="G574" s="35"/>
      <c r="H574" s="33">
        <v>65000</v>
      </c>
      <c r="I574" s="57"/>
      <c r="J574" s="33">
        <v>90000</v>
      </c>
      <c r="K574" s="57"/>
      <c r="L574" s="33">
        <v>0</v>
      </c>
      <c r="M574" s="57"/>
      <c r="N574" s="33">
        <v>60000</v>
      </c>
      <c r="O574" s="57"/>
      <c r="P574" s="33">
        <v>95000</v>
      </c>
      <c r="Q574" s="57"/>
      <c r="R574" s="33">
        <v>0</v>
      </c>
      <c r="S574" s="29">
        <f t="shared" si="21"/>
        <v>0</v>
      </c>
    </row>
    <row r="575" spans="3:19" x14ac:dyDescent="0.25">
      <c r="C575" s="30" t="s">
        <v>244</v>
      </c>
      <c r="D575" s="30"/>
      <c r="E575" s="34"/>
      <c r="F575" s="18">
        <f t="shared" si="23"/>
        <v>-86000</v>
      </c>
      <c r="G575" s="35"/>
      <c r="H575" s="33">
        <v>680000</v>
      </c>
      <c r="I575" s="57"/>
      <c r="J575" s="33">
        <v>-107000</v>
      </c>
      <c r="K575" s="57"/>
      <c r="L575" s="33">
        <v>-659000</v>
      </c>
      <c r="M575" s="57"/>
      <c r="N575" s="33">
        <v>-53000</v>
      </c>
      <c r="O575" s="57"/>
      <c r="P575" s="33">
        <f>-32000-1000</f>
        <v>-33000</v>
      </c>
      <c r="Q575" s="57"/>
      <c r="R575" s="33">
        <v>0</v>
      </c>
      <c r="S575" s="29">
        <f t="shared" si="21"/>
        <v>0</v>
      </c>
    </row>
    <row r="576" spans="3:19" x14ac:dyDescent="0.25">
      <c r="C576" s="30" t="s">
        <v>472</v>
      </c>
      <c r="D576" s="30"/>
      <c r="E576" s="34"/>
      <c r="F576" s="18">
        <f t="shared" si="23"/>
        <v>986000</v>
      </c>
      <c r="G576" s="35"/>
      <c r="H576" s="33">
        <v>88000</v>
      </c>
      <c r="I576" s="57"/>
      <c r="J576" s="33">
        <v>30000</v>
      </c>
      <c r="K576" s="57"/>
      <c r="L576" s="33">
        <f>869000-1000</f>
        <v>868000</v>
      </c>
      <c r="M576" s="57"/>
      <c r="N576" s="33">
        <v>448000</v>
      </c>
      <c r="O576" s="57"/>
      <c r="P576" s="33">
        <v>538000</v>
      </c>
      <c r="Q576" s="57"/>
      <c r="R576" s="33">
        <v>0</v>
      </c>
      <c r="S576" s="29">
        <f t="shared" ref="S576:S639" si="24">+F576-N576-P576+R576</f>
        <v>0</v>
      </c>
    </row>
    <row r="577" spans="3:19" x14ac:dyDescent="0.25">
      <c r="C577" s="30" t="s">
        <v>201</v>
      </c>
      <c r="D577" s="30"/>
      <c r="E577" s="34"/>
      <c r="F577" s="18">
        <f t="shared" si="23"/>
        <v>7537000</v>
      </c>
      <c r="G577" s="35"/>
      <c r="H577" s="33">
        <v>-2000</v>
      </c>
      <c r="I577" s="57"/>
      <c r="J577" s="33">
        <v>213000</v>
      </c>
      <c r="K577" s="57"/>
      <c r="L577" s="33">
        <v>7326000</v>
      </c>
      <c r="M577" s="57"/>
      <c r="N577" s="33">
        <v>4238000</v>
      </c>
      <c r="O577" s="57"/>
      <c r="P577" s="33">
        <v>3299000</v>
      </c>
      <c r="Q577" s="57"/>
      <c r="R577" s="33">
        <v>0</v>
      </c>
      <c r="S577" s="29">
        <f t="shared" si="24"/>
        <v>0</v>
      </c>
    </row>
    <row r="578" spans="3:19" x14ac:dyDescent="0.25">
      <c r="C578" s="30" t="s">
        <v>245</v>
      </c>
      <c r="D578" s="30"/>
      <c r="F578" s="18">
        <f t="shared" si="23"/>
        <v>372000</v>
      </c>
      <c r="G578" s="35"/>
      <c r="H578" s="33">
        <v>119000</v>
      </c>
      <c r="I578" s="57"/>
      <c r="J578" s="33">
        <v>76000</v>
      </c>
      <c r="K578" s="57"/>
      <c r="L578" s="33">
        <v>177000</v>
      </c>
      <c r="M578" s="57"/>
      <c r="N578" s="33">
        <v>225000</v>
      </c>
      <c r="O578" s="57"/>
      <c r="P578" s="33">
        <v>147000</v>
      </c>
      <c r="Q578" s="57"/>
      <c r="R578" s="33">
        <v>0</v>
      </c>
      <c r="S578" s="29">
        <f t="shared" si="24"/>
        <v>0</v>
      </c>
    </row>
    <row r="579" spans="3:19" x14ac:dyDescent="0.25">
      <c r="C579" s="30" t="s">
        <v>470</v>
      </c>
      <c r="D579" s="30"/>
      <c r="F579" s="18">
        <f t="shared" si="23"/>
        <v>872000</v>
      </c>
      <c r="G579" s="35"/>
      <c r="H579" s="33">
        <v>0</v>
      </c>
      <c r="I579" s="57"/>
      <c r="J579" s="33">
        <v>14000</v>
      </c>
      <c r="K579" s="57"/>
      <c r="L579" s="33">
        <v>858000</v>
      </c>
      <c r="M579" s="57"/>
      <c r="N579" s="33">
        <v>545000</v>
      </c>
      <c r="O579" s="57"/>
      <c r="P579" s="33">
        <v>327000</v>
      </c>
      <c r="Q579" s="57"/>
      <c r="R579" s="33">
        <v>0</v>
      </c>
      <c r="S579" s="29">
        <f t="shared" si="24"/>
        <v>0</v>
      </c>
    </row>
    <row r="580" spans="3:19" x14ac:dyDescent="0.25">
      <c r="C580" s="30" t="s">
        <v>246</v>
      </c>
      <c r="D580" s="30"/>
      <c r="E580" s="34"/>
      <c r="G580" s="7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29">
        <f t="shared" si="24"/>
        <v>0</v>
      </c>
    </row>
    <row r="581" spans="3:19" x14ac:dyDescent="0.25">
      <c r="E581" s="30" t="s">
        <v>247</v>
      </c>
      <c r="F581" s="18">
        <f>SUM(H581:L581)</f>
        <v>677000</v>
      </c>
      <c r="G581" s="35"/>
      <c r="H581" s="33">
        <v>254000</v>
      </c>
      <c r="I581" s="57"/>
      <c r="J581" s="33">
        <v>207000</v>
      </c>
      <c r="K581" s="57"/>
      <c r="L581" s="33">
        <v>216000</v>
      </c>
      <c r="M581" s="57"/>
      <c r="N581" s="33">
        <v>403000</v>
      </c>
      <c r="O581" s="57"/>
      <c r="P581" s="33">
        <v>274000</v>
      </c>
      <c r="Q581" s="57"/>
      <c r="R581" s="33">
        <v>0</v>
      </c>
      <c r="S581" s="29">
        <f t="shared" si="24"/>
        <v>0</v>
      </c>
    </row>
    <row r="582" spans="3:19" x14ac:dyDescent="0.25">
      <c r="C582" s="30" t="s">
        <v>248</v>
      </c>
      <c r="D582" s="30"/>
      <c r="E582" s="34"/>
      <c r="G582" s="7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29">
        <f t="shared" si="24"/>
        <v>0</v>
      </c>
    </row>
    <row r="583" spans="3:19" x14ac:dyDescent="0.25">
      <c r="E583" s="30" t="s">
        <v>249</v>
      </c>
      <c r="F583" s="18">
        <f>SUM(H583:L583)</f>
        <v>12358000</v>
      </c>
      <c r="G583" s="35"/>
      <c r="H583" s="33">
        <v>198000</v>
      </c>
      <c r="I583" s="57"/>
      <c r="J583" s="33">
        <f>269000-1000</f>
        <v>268000</v>
      </c>
      <c r="K583" s="57"/>
      <c r="L583" s="33">
        <v>11892000</v>
      </c>
      <c r="M583" s="57"/>
      <c r="N583" s="33">
        <v>3844000</v>
      </c>
      <c r="O583" s="57"/>
      <c r="P583" s="33">
        <v>8514000</v>
      </c>
      <c r="Q583" s="57"/>
      <c r="R583" s="33">
        <v>0</v>
      </c>
      <c r="S583" s="29">
        <f t="shared" si="24"/>
        <v>0</v>
      </c>
    </row>
    <row r="584" spans="3:19" x14ac:dyDescent="0.25">
      <c r="C584" s="30" t="s">
        <v>250</v>
      </c>
      <c r="D584" s="30"/>
      <c r="E584" s="34"/>
      <c r="F584" s="18">
        <f>SUM(H584:L584)</f>
        <v>477000</v>
      </c>
      <c r="G584" s="35"/>
      <c r="H584" s="33">
        <v>36000</v>
      </c>
      <c r="I584" s="57"/>
      <c r="J584" s="33">
        <v>0</v>
      </c>
      <c r="K584" s="57"/>
      <c r="L584" s="33">
        <v>441000</v>
      </c>
      <c r="M584" s="57"/>
      <c r="N584" s="33">
        <v>274000</v>
      </c>
      <c r="O584" s="57"/>
      <c r="P584" s="33">
        <v>203000</v>
      </c>
      <c r="Q584" s="57"/>
      <c r="R584" s="33">
        <v>0</v>
      </c>
      <c r="S584" s="29">
        <f t="shared" si="24"/>
        <v>0</v>
      </c>
    </row>
    <row r="585" spans="3:19" x14ac:dyDescent="0.25">
      <c r="C585" s="30" t="s">
        <v>251</v>
      </c>
      <c r="D585" s="30"/>
      <c r="E585" s="34"/>
      <c r="F585" s="18">
        <f>SUM(H585:L585)</f>
        <v>2899000</v>
      </c>
      <c r="G585" s="35"/>
      <c r="H585" s="33">
        <v>1455000</v>
      </c>
      <c r="I585" s="57"/>
      <c r="J585" s="33">
        <v>333000</v>
      </c>
      <c r="K585" s="57"/>
      <c r="L585" s="33">
        <v>1111000</v>
      </c>
      <c r="M585" s="57"/>
      <c r="N585" s="33">
        <f>1357000+1000</f>
        <v>1358000</v>
      </c>
      <c r="O585" s="57"/>
      <c r="P585" s="33">
        <v>1541000</v>
      </c>
      <c r="Q585" s="57"/>
      <c r="R585" s="33">
        <v>0</v>
      </c>
      <c r="S585" s="29">
        <f t="shared" si="24"/>
        <v>0</v>
      </c>
    </row>
    <row r="586" spans="3:19" x14ac:dyDescent="0.25">
      <c r="C586" s="30" t="s">
        <v>252</v>
      </c>
      <c r="D586" s="30"/>
      <c r="E586" s="34"/>
      <c r="F586" s="18">
        <f>SUM(H586:L586)</f>
        <v>2012000</v>
      </c>
      <c r="G586" s="35"/>
      <c r="H586" s="33">
        <v>441000</v>
      </c>
      <c r="I586" s="57"/>
      <c r="J586" s="33">
        <v>118000</v>
      </c>
      <c r="K586" s="57"/>
      <c r="L586" s="33">
        <v>1453000</v>
      </c>
      <c r="M586" s="57"/>
      <c r="N586" s="33">
        <v>1266000</v>
      </c>
      <c r="O586" s="57"/>
      <c r="P586" s="33">
        <v>746000</v>
      </c>
      <c r="Q586" s="57"/>
      <c r="R586" s="33">
        <v>0</v>
      </c>
      <c r="S586" s="29">
        <f t="shared" si="24"/>
        <v>0</v>
      </c>
    </row>
    <row r="587" spans="3:19" x14ac:dyDescent="0.25">
      <c r="C587" s="30" t="s">
        <v>253</v>
      </c>
      <c r="D587" s="30"/>
      <c r="E587" s="34"/>
      <c r="F587" s="18">
        <f>SUM(H587:L587)</f>
        <v>5049000</v>
      </c>
      <c r="G587" s="35"/>
      <c r="H587" s="33">
        <v>978000</v>
      </c>
      <c r="I587" s="57"/>
      <c r="J587" s="33">
        <v>1842000</v>
      </c>
      <c r="K587" s="57"/>
      <c r="L587" s="33">
        <v>2229000</v>
      </c>
      <c r="M587" s="57"/>
      <c r="N587" s="33">
        <v>2999000</v>
      </c>
      <c r="O587" s="57"/>
      <c r="P587" s="33">
        <v>2050000</v>
      </c>
      <c r="Q587" s="57"/>
      <c r="R587" s="33">
        <v>0</v>
      </c>
      <c r="S587" s="29">
        <f t="shared" si="24"/>
        <v>0</v>
      </c>
    </row>
    <row r="588" spans="3:19" x14ac:dyDescent="0.25">
      <c r="C588" s="30" t="s">
        <v>254</v>
      </c>
      <c r="D588" s="30"/>
      <c r="E588" s="34"/>
      <c r="G588" s="7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29">
        <f t="shared" si="24"/>
        <v>0</v>
      </c>
    </row>
    <row r="589" spans="3:19" x14ac:dyDescent="0.25">
      <c r="C589" s="30"/>
      <c r="D589" s="30"/>
      <c r="E589" s="34" t="s">
        <v>255</v>
      </c>
      <c r="F589" s="18">
        <f>SUM(H589:L589)</f>
        <v>1739000</v>
      </c>
      <c r="G589" s="35"/>
      <c r="H589" s="33">
        <f>192000+1000</f>
        <v>193000</v>
      </c>
      <c r="I589" s="57"/>
      <c r="J589" s="33">
        <v>65000</v>
      </c>
      <c r="K589" s="57"/>
      <c r="L589" s="33">
        <v>1481000</v>
      </c>
      <c r="M589" s="57"/>
      <c r="N589" s="33">
        <v>960000</v>
      </c>
      <c r="O589" s="57"/>
      <c r="P589" s="33">
        <v>779000</v>
      </c>
      <c r="Q589" s="57"/>
      <c r="R589" s="33">
        <v>0</v>
      </c>
      <c r="S589" s="29">
        <f t="shared" si="24"/>
        <v>0</v>
      </c>
    </row>
    <row r="590" spans="3:19" x14ac:dyDescent="0.25">
      <c r="C590" s="30" t="s">
        <v>203</v>
      </c>
      <c r="D590" s="30"/>
      <c r="E590" s="34"/>
      <c r="G590" s="7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29">
        <f t="shared" si="24"/>
        <v>0</v>
      </c>
    </row>
    <row r="591" spans="3:19" x14ac:dyDescent="0.25">
      <c r="E591" s="30" t="s">
        <v>48</v>
      </c>
      <c r="F591" s="18">
        <f>SUM(H591:L591)</f>
        <v>3000000</v>
      </c>
      <c r="G591" s="35"/>
      <c r="H591" s="33">
        <v>254000</v>
      </c>
      <c r="I591" s="57"/>
      <c r="J591" s="33">
        <v>0</v>
      </c>
      <c r="K591" s="57"/>
      <c r="L591" s="33">
        <v>2746000</v>
      </c>
      <c r="M591" s="57"/>
      <c r="N591" s="33">
        <f>989000-1000</f>
        <v>988000</v>
      </c>
      <c r="O591" s="57"/>
      <c r="P591" s="33">
        <v>2012000</v>
      </c>
      <c r="Q591" s="57"/>
      <c r="R591" s="33">
        <v>0</v>
      </c>
      <c r="S591" s="29">
        <f t="shared" si="24"/>
        <v>0</v>
      </c>
    </row>
    <row r="592" spans="3:19" x14ac:dyDescent="0.25">
      <c r="C592" s="38" t="s">
        <v>256</v>
      </c>
      <c r="F592" s="18">
        <f>SUM(H592:L592)</f>
        <v>4230000</v>
      </c>
      <c r="G592" s="35"/>
      <c r="H592" s="33">
        <v>3000</v>
      </c>
      <c r="I592" s="57"/>
      <c r="J592" s="33">
        <v>689000</v>
      </c>
      <c r="K592" s="57"/>
      <c r="L592" s="33">
        <v>3538000</v>
      </c>
      <c r="M592" s="57"/>
      <c r="N592" s="33">
        <v>2121000</v>
      </c>
      <c r="O592" s="57"/>
      <c r="P592" s="33">
        <v>2109000</v>
      </c>
      <c r="Q592" s="57"/>
      <c r="R592" s="33">
        <v>0</v>
      </c>
      <c r="S592" s="29">
        <f t="shared" si="24"/>
        <v>0</v>
      </c>
    </row>
    <row r="593" spans="3:19" x14ac:dyDescent="0.25">
      <c r="C593" s="30" t="s">
        <v>257</v>
      </c>
      <c r="D593" s="30"/>
      <c r="E593" s="34"/>
      <c r="G593" s="7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29">
        <f t="shared" si="24"/>
        <v>0</v>
      </c>
    </row>
    <row r="594" spans="3:19" x14ac:dyDescent="0.25">
      <c r="E594" s="30" t="s">
        <v>258</v>
      </c>
      <c r="F594" s="18">
        <f>SUM(H594:L594)</f>
        <v>1652000</v>
      </c>
      <c r="G594" s="35"/>
      <c r="H594" s="33">
        <v>233000</v>
      </c>
      <c r="I594" s="57"/>
      <c r="J594" s="33">
        <v>53000</v>
      </c>
      <c r="K594" s="57"/>
      <c r="L594" s="33">
        <f>1367000-1000</f>
        <v>1366000</v>
      </c>
      <c r="M594" s="57"/>
      <c r="N594" s="33">
        <v>785000</v>
      </c>
      <c r="O594" s="57"/>
      <c r="P594" s="33">
        <v>867000</v>
      </c>
      <c r="Q594" s="57"/>
      <c r="R594" s="33">
        <v>0</v>
      </c>
      <c r="S594" s="29">
        <f t="shared" si="24"/>
        <v>0</v>
      </c>
    </row>
    <row r="595" spans="3:19" x14ac:dyDescent="0.25">
      <c r="C595" s="30" t="s">
        <v>259</v>
      </c>
      <c r="D595" s="30"/>
      <c r="E595" s="34"/>
      <c r="F595" s="18">
        <f>SUM(H595:L595)</f>
        <v>347000</v>
      </c>
      <c r="G595" s="35"/>
      <c r="H595" s="33">
        <v>0</v>
      </c>
      <c r="I595" s="57"/>
      <c r="J595" s="33">
        <v>0</v>
      </c>
      <c r="K595" s="57"/>
      <c r="L595" s="33">
        <v>347000</v>
      </c>
      <c r="M595" s="57"/>
      <c r="N595" s="33">
        <v>186000</v>
      </c>
      <c r="O595" s="57"/>
      <c r="P595" s="33">
        <v>161000</v>
      </c>
      <c r="Q595" s="57"/>
      <c r="R595" s="33">
        <v>0</v>
      </c>
      <c r="S595" s="29">
        <f t="shared" si="24"/>
        <v>0</v>
      </c>
    </row>
    <row r="596" spans="3:19" x14ac:dyDescent="0.25">
      <c r="C596" s="38" t="s">
        <v>260</v>
      </c>
      <c r="D596" s="30"/>
      <c r="G596" s="7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29">
        <f t="shared" si="24"/>
        <v>0</v>
      </c>
    </row>
    <row r="597" spans="3:19" x14ac:dyDescent="0.25">
      <c r="C597" s="29"/>
      <c r="E597" s="38" t="s">
        <v>261</v>
      </c>
      <c r="F597" s="18">
        <f>SUM(H597:L597)</f>
        <v>2847000</v>
      </c>
      <c r="G597" s="35"/>
      <c r="H597" s="33">
        <v>0</v>
      </c>
      <c r="I597" s="57"/>
      <c r="J597" s="33">
        <v>0</v>
      </c>
      <c r="K597" s="57"/>
      <c r="L597" s="33">
        <v>2847000</v>
      </c>
      <c r="M597" s="57"/>
      <c r="N597" s="33">
        <v>1951000</v>
      </c>
      <c r="O597" s="57"/>
      <c r="P597" s="33">
        <v>896000</v>
      </c>
      <c r="Q597" s="57"/>
      <c r="R597" s="33">
        <v>0</v>
      </c>
      <c r="S597" s="29">
        <f t="shared" si="24"/>
        <v>0</v>
      </c>
    </row>
    <row r="598" spans="3:19" x14ac:dyDescent="0.25">
      <c r="C598" s="30" t="s">
        <v>262</v>
      </c>
      <c r="D598" s="30"/>
      <c r="E598" s="34"/>
      <c r="F598" s="18">
        <f>SUM(H598:L598)</f>
        <v>874000</v>
      </c>
      <c r="G598" s="35"/>
      <c r="H598" s="33">
        <v>2000</v>
      </c>
      <c r="I598" s="57"/>
      <c r="J598" s="33">
        <v>2000</v>
      </c>
      <c r="K598" s="57"/>
      <c r="L598" s="33">
        <f>871000-1000</f>
        <v>870000</v>
      </c>
      <c r="M598" s="57"/>
      <c r="N598" s="33">
        <v>424000</v>
      </c>
      <c r="O598" s="57"/>
      <c r="P598" s="33">
        <v>450000</v>
      </c>
      <c r="Q598" s="57"/>
      <c r="R598" s="33">
        <v>0</v>
      </c>
      <c r="S598" s="29">
        <f t="shared" si="24"/>
        <v>0</v>
      </c>
    </row>
    <row r="599" spans="3:19" x14ac:dyDescent="0.25">
      <c r="C599" s="30" t="s">
        <v>204</v>
      </c>
      <c r="D599" s="30"/>
      <c r="E599" s="34"/>
      <c r="F599" s="18">
        <f>SUM(H599:L599)</f>
        <v>1769000</v>
      </c>
      <c r="G599" s="35"/>
      <c r="H599" s="33">
        <v>12000</v>
      </c>
      <c r="I599" s="57"/>
      <c r="J599" s="33">
        <v>133000</v>
      </c>
      <c r="K599" s="57"/>
      <c r="L599" s="33">
        <v>1624000</v>
      </c>
      <c r="M599" s="57"/>
      <c r="N599" s="33">
        <f>741000+1000</f>
        <v>742000</v>
      </c>
      <c r="O599" s="57"/>
      <c r="P599" s="33">
        <v>1167000</v>
      </c>
      <c r="Q599" s="57"/>
      <c r="R599" s="33">
        <v>140000</v>
      </c>
      <c r="S599" s="29">
        <f t="shared" si="24"/>
        <v>0</v>
      </c>
    </row>
    <row r="600" spans="3:19" x14ac:dyDescent="0.25">
      <c r="C600" s="30" t="s">
        <v>263</v>
      </c>
      <c r="D600" s="30"/>
      <c r="E600" s="34"/>
      <c r="G600" s="7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29">
        <f t="shared" si="24"/>
        <v>0</v>
      </c>
    </row>
    <row r="601" spans="3:19" x14ac:dyDescent="0.25">
      <c r="C601" s="29"/>
      <c r="D601" s="30"/>
      <c r="E601" s="34" t="s">
        <v>264</v>
      </c>
      <c r="F601" s="18">
        <f t="shared" ref="F601:F616" si="25">SUM(H601:L601)</f>
        <v>2093000</v>
      </c>
      <c r="G601" s="35"/>
      <c r="H601" s="33">
        <v>79000</v>
      </c>
      <c r="I601" s="57"/>
      <c r="J601" s="33">
        <f>14000+1000</f>
        <v>15000</v>
      </c>
      <c r="K601" s="57"/>
      <c r="L601" s="33">
        <v>1999000</v>
      </c>
      <c r="M601" s="57"/>
      <c r="N601" s="33">
        <v>1180000</v>
      </c>
      <c r="O601" s="57"/>
      <c r="P601" s="33">
        <v>913000</v>
      </c>
      <c r="Q601" s="57"/>
      <c r="R601" s="33">
        <v>0</v>
      </c>
      <c r="S601" s="29">
        <f t="shared" si="24"/>
        <v>0</v>
      </c>
    </row>
    <row r="602" spans="3:19" x14ac:dyDescent="0.25">
      <c r="C602" s="30" t="s">
        <v>265</v>
      </c>
      <c r="D602" s="30"/>
      <c r="E602" s="34"/>
      <c r="F602" s="18">
        <f t="shared" si="25"/>
        <v>24000</v>
      </c>
      <c r="G602" s="35"/>
      <c r="H602" s="33">
        <v>1000</v>
      </c>
      <c r="I602" s="57"/>
      <c r="J602" s="33">
        <v>23000</v>
      </c>
      <c r="K602" s="57"/>
      <c r="L602" s="33">
        <v>0</v>
      </c>
      <c r="M602" s="57"/>
      <c r="N602" s="33">
        <f>14000+1000</f>
        <v>15000</v>
      </c>
      <c r="O602" s="57"/>
      <c r="P602" s="33">
        <v>9000</v>
      </c>
      <c r="Q602" s="57"/>
      <c r="R602" s="33">
        <v>0</v>
      </c>
      <c r="S602" s="29">
        <f t="shared" si="24"/>
        <v>0</v>
      </c>
    </row>
    <row r="603" spans="3:19" x14ac:dyDescent="0.25">
      <c r="C603" s="30" t="s">
        <v>205</v>
      </c>
      <c r="D603" s="30"/>
      <c r="E603" s="38"/>
      <c r="F603" s="18">
        <f t="shared" si="25"/>
        <v>9834000</v>
      </c>
      <c r="G603" s="35"/>
      <c r="H603" s="33">
        <v>2735000</v>
      </c>
      <c r="I603" s="57"/>
      <c r="J603" s="33">
        <v>3101000</v>
      </c>
      <c r="K603" s="57"/>
      <c r="L603" s="33">
        <v>3998000</v>
      </c>
      <c r="M603" s="57"/>
      <c r="N603" s="33">
        <v>371000</v>
      </c>
      <c r="O603" s="57"/>
      <c r="P603" s="33">
        <v>9463000</v>
      </c>
      <c r="Q603" s="57"/>
      <c r="R603" s="33">
        <v>0</v>
      </c>
      <c r="S603" s="29">
        <f t="shared" si="24"/>
        <v>0</v>
      </c>
    </row>
    <row r="604" spans="3:19" x14ac:dyDescent="0.25">
      <c r="C604" s="30" t="s">
        <v>471</v>
      </c>
      <c r="D604" s="30"/>
      <c r="E604" s="38"/>
      <c r="F604" s="18">
        <f t="shared" si="25"/>
        <v>30000</v>
      </c>
      <c r="G604" s="35"/>
      <c r="H604" s="33">
        <v>0</v>
      </c>
      <c r="I604" s="57"/>
      <c r="J604" s="33">
        <v>27000</v>
      </c>
      <c r="K604" s="57"/>
      <c r="L604" s="33">
        <v>3000</v>
      </c>
      <c r="M604" s="57"/>
      <c r="N604" s="33">
        <v>22000</v>
      </c>
      <c r="O604" s="57"/>
      <c r="P604" s="33">
        <v>8000</v>
      </c>
      <c r="Q604" s="57"/>
      <c r="R604" s="33">
        <v>0</v>
      </c>
      <c r="S604" s="29">
        <f t="shared" si="24"/>
        <v>0</v>
      </c>
    </row>
    <row r="605" spans="3:19" x14ac:dyDescent="0.25">
      <c r="C605" s="30" t="s">
        <v>266</v>
      </c>
      <c r="D605" s="30"/>
      <c r="E605" s="34"/>
      <c r="F605" s="18">
        <f t="shared" si="25"/>
        <v>1998000</v>
      </c>
      <c r="G605" s="35"/>
      <c r="H605" s="33">
        <v>663000</v>
      </c>
      <c r="I605" s="57"/>
      <c r="J605" s="33">
        <v>1000</v>
      </c>
      <c r="K605" s="57"/>
      <c r="L605" s="33">
        <v>1334000</v>
      </c>
      <c r="M605" s="57"/>
      <c r="N605" s="33">
        <v>1171000</v>
      </c>
      <c r="O605" s="57"/>
      <c r="P605" s="33">
        <v>827000</v>
      </c>
      <c r="Q605" s="57"/>
      <c r="R605" s="33">
        <v>0</v>
      </c>
      <c r="S605" s="29">
        <f t="shared" si="24"/>
        <v>0</v>
      </c>
    </row>
    <row r="606" spans="3:19" x14ac:dyDescent="0.25">
      <c r="C606" s="30" t="s">
        <v>468</v>
      </c>
      <c r="D606" s="30"/>
      <c r="E606" s="34"/>
      <c r="F606" s="18">
        <f t="shared" si="25"/>
        <v>7822000</v>
      </c>
      <c r="G606" s="35"/>
      <c r="H606" s="33">
        <v>6549000</v>
      </c>
      <c r="I606" s="57"/>
      <c r="J606" s="33">
        <v>1270000</v>
      </c>
      <c r="K606" s="57"/>
      <c r="L606" s="33">
        <f>4000-1000</f>
        <v>3000</v>
      </c>
      <c r="M606" s="57"/>
      <c r="N606" s="33">
        <v>4377000</v>
      </c>
      <c r="O606" s="57"/>
      <c r="P606" s="33">
        <v>3458000</v>
      </c>
      <c r="Q606" s="57"/>
      <c r="R606" s="33">
        <v>13000</v>
      </c>
      <c r="S606" s="29">
        <f t="shared" si="24"/>
        <v>0</v>
      </c>
    </row>
    <row r="607" spans="3:19" x14ac:dyDescent="0.25">
      <c r="C607" s="30" t="s">
        <v>473</v>
      </c>
      <c r="D607" s="30"/>
      <c r="E607" s="34"/>
      <c r="F607" s="18">
        <f t="shared" si="25"/>
        <v>4427000</v>
      </c>
      <c r="G607" s="35"/>
      <c r="H607" s="33">
        <v>331000</v>
      </c>
      <c r="I607" s="57"/>
      <c r="J607" s="33">
        <v>34000</v>
      </c>
      <c r="K607" s="57"/>
      <c r="L607" s="33">
        <v>4062000</v>
      </c>
      <c r="M607" s="57"/>
      <c r="N607" s="33">
        <v>2061000</v>
      </c>
      <c r="O607" s="57"/>
      <c r="P607" s="33">
        <v>2366000</v>
      </c>
      <c r="Q607" s="57"/>
      <c r="R607" s="33">
        <v>0</v>
      </c>
      <c r="S607" s="29">
        <f t="shared" si="24"/>
        <v>0</v>
      </c>
    </row>
    <row r="608" spans="3:19" x14ac:dyDescent="0.25">
      <c r="C608" s="30" t="s">
        <v>267</v>
      </c>
      <c r="D608" s="30"/>
      <c r="E608" s="34"/>
      <c r="F608" s="18">
        <f t="shared" si="25"/>
        <v>43548000</v>
      </c>
      <c r="G608" s="35"/>
      <c r="H608" s="33">
        <v>661000</v>
      </c>
      <c r="I608" s="57"/>
      <c r="J608" s="33">
        <v>-152000</v>
      </c>
      <c r="K608" s="57"/>
      <c r="L608" s="33">
        <v>43039000</v>
      </c>
      <c r="M608" s="57"/>
      <c r="N608" s="33">
        <v>19162000</v>
      </c>
      <c r="O608" s="57"/>
      <c r="P608" s="33">
        <v>24386000</v>
      </c>
      <c r="Q608" s="57"/>
      <c r="R608" s="33">
        <v>0</v>
      </c>
      <c r="S608" s="29">
        <f t="shared" si="24"/>
        <v>0</v>
      </c>
    </row>
    <row r="609" spans="1:19" x14ac:dyDescent="0.25">
      <c r="C609" s="30" t="s">
        <v>206</v>
      </c>
      <c r="D609" s="30"/>
      <c r="E609" s="34"/>
      <c r="F609" s="18">
        <f t="shared" si="25"/>
        <v>918000</v>
      </c>
      <c r="G609" s="35"/>
      <c r="H609" s="33">
        <v>3000</v>
      </c>
      <c r="I609" s="57"/>
      <c r="J609" s="33">
        <v>0</v>
      </c>
      <c r="K609" s="57"/>
      <c r="L609" s="33">
        <v>915000</v>
      </c>
      <c r="M609" s="57"/>
      <c r="N609" s="33">
        <v>359000</v>
      </c>
      <c r="O609" s="57"/>
      <c r="P609" s="33">
        <v>559000</v>
      </c>
      <c r="Q609" s="57"/>
      <c r="R609" s="33">
        <v>0</v>
      </c>
      <c r="S609" s="29">
        <f t="shared" si="24"/>
        <v>0</v>
      </c>
    </row>
    <row r="610" spans="1:19" x14ac:dyDescent="0.25">
      <c r="C610" s="30" t="s">
        <v>268</v>
      </c>
      <c r="D610" s="30"/>
      <c r="E610" s="34"/>
      <c r="F610" s="18">
        <f t="shared" si="25"/>
        <v>301000</v>
      </c>
      <c r="G610" s="35"/>
      <c r="H610" s="33">
        <f>19000</f>
        <v>19000</v>
      </c>
      <c r="I610" s="57"/>
      <c r="J610" s="33">
        <v>20000</v>
      </c>
      <c r="K610" s="57"/>
      <c r="L610" s="33">
        <v>262000</v>
      </c>
      <c r="M610" s="57"/>
      <c r="N610" s="33">
        <f>143000+1000</f>
        <v>144000</v>
      </c>
      <c r="O610" s="57"/>
      <c r="P610" s="33">
        <v>157000</v>
      </c>
      <c r="Q610" s="57"/>
      <c r="R610" s="33">
        <v>0</v>
      </c>
      <c r="S610" s="29">
        <f t="shared" si="24"/>
        <v>0</v>
      </c>
    </row>
    <row r="611" spans="1:19" x14ac:dyDescent="0.25">
      <c r="C611" s="30" t="s">
        <v>207</v>
      </c>
      <c r="D611" s="30"/>
      <c r="E611" s="34"/>
      <c r="F611" s="18">
        <f t="shared" si="25"/>
        <v>283000</v>
      </c>
      <c r="G611" s="35"/>
      <c r="H611" s="33">
        <v>32000</v>
      </c>
      <c r="I611" s="57"/>
      <c r="J611" s="33">
        <v>9000</v>
      </c>
      <c r="K611" s="57"/>
      <c r="L611" s="33">
        <v>242000</v>
      </c>
      <c r="M611" s="57"/>
      <c r="N611" s="33">
        <v>146000</v>
      </c>
      <c r="O611" s="57"/>
      <c r="P611" s="33">
        <v>137000</v>
      </c>
      <c r="Q611" s="57"/>
      <c r="R611" s="33">
        <v>0</v>
      </c>
      <c r="S611" s="29">
        <f t="shared" si="24"/>
        <v>0</v>
      </c>
    </row>
    <row r="612" spans="1:19" x14ac:dyDescent="0.25">
      <c r="C612" s="30" t="s">
        <v>269</v>
      </c>
      <c r="D612" s="30"/>
      <c r="E612" s="34"/>
      <c r="F612" s="18">
        <f t="shared" si="25"/>
        <v>2000</v>
      </c>
      <c r="G612" s="35"/>
      <c r="H612" s="33">
        <v>0</v>
      </c>
      <c r="I612" s="57"/>
      <c r="J612" s="33">
        <v>0</v>
      </c>
      <c r="K612" s="57"/>
      <c r="L612" s="33">
        <v>2000</v>
      </c>
      <c r="M612" s="57"/>
      <c r="N612" s="33">
        <v>2000</v>
      </c>
      <c r="O612" s="57"/>
      <c r="P612" s="33">
        <v>0</v>
      </c>
      <c r="Q612" s="57"/>
      <c r="R612" s="33">
        <v>0</v>
      </c>
      <c r="S612" s="29">
        <f t="shared" si="24"/>
        <v>0</v>
      </c>
    </row>
    <row r="613" spans="1:19" x14ac:dyDescent="0.25">
      <c r="C613" s="30" t="s">
        <v>270</v>
      </c>
      <c r="D613" s="30"/>
      <c r="E613" s="34"/>
      <c r="F613" s="18">
        <f t="shared" si="25"/>
        <v>356000</v>
      </c>
      <c r="G613" s="35"/>
      <c r="H613" s="33">
        <v>1000</v>
      </c>
      <c r="I613" s="57"/>
      <c r="J613" s="33">
        <v>170000</v>
      </c>
      <c r="K613" s="57"/>
      <c r="L613" s="33">
        <v>185000</v>
      </c>
      <c r="M613" s="57"/>
      <c r="N613" s="33">
        <v>214000</v>
      </c>
      <c r="O613" s="57"/>
      <c r="P613" s="33">
        <v>142000</v>
      </c>
      <c r="Q613" s="57"/>
      <c r="R613" s="33">
        <v>0</v>
      </c>
      <c r="S613" s="29">
        <f t="shared" si="24"/>
        <v>0</v>
      </c>
    </row>
    <row r="614" spans="1:19" x14ac:dyDescent="0.25">
      <c r="C614" s="30" t="s">
        <v>271</v>
      </c>
      <c r="D614" s="30"/>
      <c r="E614" s="34"/>
      <c r="F614" s="18">
        <f t="shared" si="25"/>
        <v>997000</v>
      </c>
      <c r="G614" s="35"/>
      <c r="H614" s="33">
        <v>13000</v>
      </c>
      <c r="I614" s="57"/>
      <c r="J614" s="33">
        <v>1000</v>
      </c>
      <c r="K614" s="57"/>
      <c r="L614" s="33">
        <v>983000</v>
      </c>
      <c r="M614" s="57"/>
      <c r="N614" s="33">
        <v>531000</v>
      </c>
      <c r="O614" s="57"/>
      <c r="P614" s="33">
        <v>466000</v>
      </c>
      <c r="Q614" s="57"/>
      <c r="R614" s="33">
        <v>0</v>
      </c>
      <c r="S614" s="29">
        <f t="shared" si="24"/>
        <v>0</v>
      </c>
    </row>
    <row r="615" spans="1:19" x14ac:dyDescent="0.25">
      <c r="C615" s="38" t="s">
        <v>272</v>
      </c>
      <c r="F615" s="18">
        <f t="shared" si="25"/>
        <v>1679000</v>
      </c>
      <c r="G615" s="35"/>
      <c r="H615" s="33">
        <v>20000</v>
      </c>
      <c r="I615" s="57"/>
      <c r="J615" s="33">
        <v>70000</v>
      </c>
      <c r="K615" s="57"/>
      <c r="L615" s="33">
        <v>1589000</v>
      </c>
      <c r="M615" s="57"/>
      <c r="N615" s="33">
        <v>761000</v>
      </c>
      <c r="O615" s="57"/>
      <c r="P615" s="33">
        <v>918000</v>
      </c>
      <c r="Q615" s="57"/>
      <c r="R615" s="33">
        <v>0</v>
      </c>
      <c r="S615" s="29">
        <f t="shared" si="24"/>
        <v>0</v>
      </c>
    </row>
    <row r="616" spans="1:19" x14ac:dyDescent="0.25">
      <c r="C616" s="38" t="s">
        <v>465</v>
      </c>
      <c r="F616" s="18">
        <f t="shared" si="25"/>
        <v>835000</v>
      </c>
      <c r="G616" s="35"/>
      <c r="H616" s="33">
        <v>663000</v>
      </c>
      <c r="I616" s="57"/>
      <c r="J616" s="33">
        <v>168000</v>
      </c>
      <c r="K616" s="57"/>
      <c r="L616" s="33">
        <v>4000</v>
      </c>
      <c r="M616" s="57"/>
      <c r="N616" s="33">
        <v>582000</v>
      </c>
      <c r="O616" s="57"/>
      <c r="P616" s="33">
        <v>275000</v>
      </c>
      <c r="Q616" s="57"/>
      <c r="R616" s="33">
        <v>22000</v>
      </c>
      <c r="S616" s="29">
        <f t="shared" si="24"/>
        <v>0</v>
      </c>
    </row>
    <row r="617" spans="1:19" x14ac:dyDescent="0.25">
      <c r="B617" s="29"/>
      <c r="C617" s="30" t="s">
        <v>208</v>
      </c>
      <c r="D617" s="30"/>
      <c r="E617" s="38"/>
      <c r="G617" s="7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29">
        <f t="shared" si="24"/>
        <v>0</v>
      </c>
    </row>
    <row r="618" spans="1:19" x14ac:dyDescent="0.25">
      <c r="B618" s="29"/>
      <c r="C618" s="30" t="s">
        <v>236</v>
      </c>
      <c r="D618" s="30"/>
      <c r="E618" s="38" t="s">
        <v>209</v>
      </c>
      <c r="F618" s="18">
        <f>SUM(H618:L618)</f>
        <v>806000</v>
      </c>
      <c r="G618" s="35"/>
      <c r="H618" s="33">
        <v>36000</v>
      </c>
      <c r="I618" s="57"/>
      <c r="J618" s="33">
        <v>692000</v>
      </c>
      <c r="K618" s="57"/>
      <c r="L618" s="33">
        <v>78000</v>
      </c>
      <c r="M618" s="57"/>
      <c r="N618" s="33">
        <v>464000</v>
      </c>
      <c r="O618" s="57"/>
      <c r="P618" s="33">
        <v>342000</v>
      </c>
      <c r="Q618" s="57"/>
      <c r="R618" s="33">
        <v>0</v>
      </c>
      <c r="S618" s="29">
        <f t="shared" si="24"/>
        <v>0</v>
      </c>
    </row>
    <row r="619" spans="1:19" x14ac:dyDescent="0.25">
      <c r="C619" s="30" t="s">
        <v>210</v>
      </c>
      <c r="D619" s="30"/>
      <c r="E619" s="34"/>
      <c r="F619" s="58">
        <f>SUM(H619:L619)</f>
        <v>-964000</v>
      </c>
      <c r="G619" s="7"/>
      <c r="H619" s="36">
        <f>-1092000-1000-3000</f>
        <v>-1096000</v>
      </c>
      <c r="I619" s="33"/>
      <c r="J619" s="36">
        <f>1101000+2000</f>
        <v>1103000</v>
      </c>
      <c r="K619" s="33"/>
      <c r="L619" s="36">
        <f>-973000-1000+3000</f>
        <v>-971000</v>
      </c>
      <c r="M619" s="33"/>
      <c r="N619" s="36">
        <f>-917000+1000</f>
        <v>-916000</v>
      </c>
      <c r="O619" s="33"/>
      <c r="P619" s="36">
        <f>-47000-1000</f>
        <v>-48000</v>
      </c>
      <c r="Q619" s="33"/>
      <c r="R619" s="36">
        <v>0</v>
      </c>
      <c r="S619" s="29">
        <f t="shared" si="24"/>
        <v>0</v>
      </c>
    </row>
    <row r="620" spans="1:19" x14ac:dyDescent="0.25"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29">
        <f t="shared" si="24"/>
        <v>0</v>
      </c>
    </row>
    <row r="621" spans="1:19" x14ac:dyDescent="0.25">
      <c r="E621" s="30" t="s">
        <v>2</v>
      </c>
      <c r="F621" s="58">
        <f>SUM(H621:L621)</f>
        <v>220620000</v>
      </c>
      <c r="G621" s="7"/>
      <c r="H621" s="58">
        <f>SUM(H534:H620)</f>
        <v>21556000</v>
      </c>
      <c r="I621" s="18"/>
      <c r="J621" s="58">
        <f>SUM(J534:J620)</f>
        <v>20451000</v>
      </c>
      <c r="K621" s="18"/>
      <c r="L621" s="58">
        <f>SUM(L534:L620)</f>
        <v>178613000</v>
      </c>
      <c r="M621" s="18"/>
      <c r="N621" s="58">
        <f>SUM(N534:N620)</f>
        <v>92149000</v>
      </c>
      <c r="O621" s="18"/>
      <c r="P621" s="58">
        <f>SUM(P534:P620)</f>
        <v>129828000</v>
      </c>
      <c r="Q621" s="18"/>
      <c r="R621" s="58">
        <f>SUM(R534:R620)</f>
        <v>1357000</v>
      </c>
      <c r="S621" s="29">
        <f t="shared" si="24"/>
        <v>0</v>
      </c>
    </row>
    <row r="622" spans="1:19" x14ac:dyDescent="0.25">
      <c r="A622" s="46"/>
      <c r="B622" s="46"/>
      <c r="C622" s="46"/>
      <c r="D622" s="46"/>
      <c r="E622" s="46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29">
        <f t="shared" si="24"/>
        <v>0</v>
      </c>
    </row>
    <row r="623" spans="1:19" x14ac:dyDescent="0.25">
      <c r="B623" s="38" t="s">
        <v>25</v>
      </c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29">
        <f t="shared" si="24"/>
        <v>0</v>
      </c>
    </row>
    <row r="624" spans="1:19" x14ac:dyDescent="0.25">
      <c r="C624" s="38" t="s">
        <v>273</v>
      </c>
      <c r="F624" s="18">
        <f>SUM(H624:L624)</f>
        <v>8533000</v>
      </c>
      <c r="G624" s="35"/>
      <c r="H624" s="33">
        <v>1817000</v>
      </c>
      <c r="I624" s="57"/>
      <c r="J624" s="33">
        <v>3883000</v>
      </c>
      <c r="K624" s="57"/>
      <c r="L624" s="33">
        <v>2833000</v>
      </c>
      <c r="M624" s="57"/>
      <c r="N624" s="33">
        <v>3959000</v>
      </c>
      <c r="O624" s="57"/>
      <c r="P624" s="33">
        <v>4593000</v>
      </c>
      <c r="Q624" s="57"/>
      <c r="R624" s="33">
        <v>19000</v>
      </c>
      <c r="S624" s="29">
        <f t="shared" si="24"/>
        <v>0</v>
      </c>
    </row>
    <row r="625" spans="3:19" x14ac:dyDescent="0.25">
      <c r="C625" s="38" t="s">
        <v>274</v>
      </c>
      <c r="G625" s="7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29">
        <f t="shared" si="24"/>
        <v>0</v>
      </c>
    </row>
    <row r="626" spans="3:19" x14ac:dyDescent="0.25">
      <c r="C626" s="29"/>
      <c r="E626" s="30" t="s">
        <v>275</v>
      </c>
      <c r="F626" s="18">
        <f t="shared" ref="F626:F632" si="26">SUM(H626:L626)</f>
        <v>3112000</v>
      </c>
      <c r="G626" s="35"/>
      <c r="H626" s="33">
        <v>1693000</v>
      </c>
      <c r="I626" s="57"/>
      <c r="J626" s="33">
        <v>803000</v>
      </c>
      <c r="K626" s="57"/>
      <c r="L626" s="33">
        <v>616000</v>
      </c>
      <c r="M626" s="57"/>
      <c r="N626" s="33">
        <v>1596000</v>
      </c>
      <c r="O626" s="57"/>
      <c r="P626" s="33">
        <v>1516000</v>
      </c>
      <c r="Q626" s="57"/>
      <c r="R626" s="33">
        <v>0</v>
      </c>
      <c r="S626" s="29">
        <f t="shared" si="24"/>
        <v>0</v>
      </c>
    </row>
    <row r="627" spans="3:19" x14ac:dyDescent="0.25">
      <c r="C627" s="30" t="s">
        <v>276</v>
      </c>
      <c r="D627" s="30"/>
      <c r="E627" s="34"/>
      <c r="F627" s="18">
        <f t="shared" si="26"/>
        <v>7724000</v>
      </c>
      <c r="G627" s="35"/>
      <c r="H627" s="33">
        <v>41000</v>
      </c>
      <c r="I627" s="57"/>
      <c r="J627" s="33">
        <v>2544000</v>
      </c>
      <c r="K627" s="57"/>
      <c r="L627" s="33">
        <v>5139000</v>
      </c>
      <c r="M627" s="57"/>
      <c r="N627" s="33">
        <v>3897000</v>
      </c>
      <c r="O627" s="57"/>
      <c r="P627" s="33">
        <v>3827000</v>
      </c>
      <c r="Q627" s="57"/>
      <c r="R627" s="33">
        <v>0</v>
      </c>
      <c r="S627" s="29">
        <f t="shared" si="24"/>
        <v>0</v>
      </c>
    </row>
    <row r="628" spans="3:19" x14ac:dyDescent="0.25">
      <c r="C628" s="30" t="s">
        <v>192</v>
      </c>
      <c r="D628" s="30"/>
      <c r="E628" s="34"/>
      <c r="F628" s="18">
        <f t="shared" si="26"/>
        <v>4000</v>
      </c>
      <c r="G628" s="35"/>
      <c r="H628" s="33">
        <v>0</v>
      </c>
      <c r="I628" s="57"/>
      <c r="J628" s="33">
        <v>0</v>
      </c>
      <c r="K628" s="57"/>
      <c r="L628" s="33">
        <v>4000</v>
      </c>
      <c r="M628" s="57"/>
      <c r="N628" s="33">
        <v>3000</v>
      </c>
      <c r="O628" s="57"/>
      <c r="P628" s="33">
        <v>1000</v>
      </c>
      <c r="Q628" s="57"/>
      <c r="R628" s="33">
        <v>0</v>
      </c>
      <c r="S628" s="29">
        <f t="shared" si="24"/>
        <v>0</v>
      </c>
    </row>
    <row r="629" spans="3:19" x14ac:dyDescent="0.25">
      <c r="C629" s="30" t="s">
        <v>277</v>
      </c>
      <c r="D629" s="30"/>
      <c r="E629" s="34"/>
      <c r="F629" s="18">
        <f t="shared" si="26"/>
        <v>137000</v>
      </c>
      <c r="G629" s="35"/>
      <c r="H629" s="33">
        <v>45000</v>
      </c>
      <c r="I629" s="57"/>
      <c r="J629" s="33">
        <v>91000</v>
      </c>
      <c r="K629" s="57"/>
      <c r="L629" s="33">
        <v>1000</v>
      </c>
      <c r="M629" s="57"/>
      <c r="N629" s="33">
        <v>71000</v>
      </c>
      <c r="O629" s="57"/>
      <c r="P629" s="33">
        <v>66000</v>
      </c>
      <c r="Q629" s="57"/>
      <c r="R629" s="33">
        <v>0</v>
      </c>
      <c r="S629" s="29">
        <f t="shared" si="24"/>
        <v>0</v>
      </c>
    </row>
    <row r="630" spans="3:19" x14ac:dyDescent="0.25">
      <c r="C630" s="30" t="s">
        <v>278</v>
      </c>
      <c r="D630" s="30"/>
      <c r="E630" s="34"/>
      <c r="F630" s="18">
        <f t="shared" si="26"/>
        <v>12730000</v>
      </c>
      <c r="G630" s="35"/>
      <c r="H630" s="33">
        <v>298000</v>
      </c>
      <c r="I630" s="57"/>
      <c r="J630" s="33">
        <v>7504000</v>
      </c>
      <c r="K630" s="57"/>
      <c r="L630" s="33">
        <v>4928000</v>
      </c>
      <c r="M630" s="57"/>
      <c r="N630" s="33">
        <v>4713000</v>
      </c>
      <c r="O630" s="57"/>
      <c r="P630" s="33">
        <v>9026000</v>
      </c>
      <c r="Q630" s="57"/>
      <c r="R630" s="33">
        <v>1009000</v>
      </c>
      <c r="S630" s="29">
        <f t="shared" si="24"/>
        <v>0</v>
      </c>
    </row>
    <row r="631" spans="3:19" x14ac:dyDescent="0.25">
      <c r="C631" s="30" t="s">
        <v>474</v>
      </c>
      <c r="D631" s="30"/>
      <c r="E631" s="34"/>
      <c r="F631" s="18">
        <f t="shared" si="26"/>
        <v>1395000</v>
      </c>
      <c r="G631" s="35"/>
      <c r="H631" s="33">
        <v>103000</v>
      </c>
      <c r="I631" s="57"/>
      <c r="J631" s="33">
        <v>596000</v>
      </c>
      <c r="K631" s="57"/>
      <c r="L631" s="33">
        <v>696000</v>
      </c>
      <c r="M631" s="57"/>
      <c r="N631" s="33">
        <v>959000</v>
      </c>
      <c r="O631" s="57"/>
      <c r="P631" s="33">
        <v>436000</v>
      </c>
      <c r="Q631" s="57"/>
      <c r="R631" s="33">
        <v>0</v>
      </c>
      <c r="S631" s="29">
        <f t="shared" si="24"/>
        <v>0</v>
      </c>
    </row>
    <row r="632" spans="3:19" x14ac:dyDescent="0.25">
      <c r="C632" s="38" t="s">
        <v>239</v>
      </c>
      <c r="F632" s="18">
        <f t="shared" si="26"/>
        <v>70000</v>
      </c>
      <c r="G632" s="35"/>
      <c r="H632" s="33">
        <v>0</v>
      </c>
      <c r="I632" s="57"/>
      <c r="J632" s="33">
        <v>0</v>
      </c>
      <c r="K632" s="57"/>
      <c r="L632" s="33">
        <v>70000</v>
      </c>
      <c r="M632" s="57"/>
      <c r="N632" s="33">
        <v>36000</v>
      </c>
      <c r="O632" s="57"/>
      <c r="P632" s="33">
        <v>34000</v>
      </c>
      <c r="Q632" s="57"/>
      <c r="R632" s="33">
        <v>0</v>
      </c>
      <c r="S632" s="29">
        <f t="shared" si="24"/>
        <v>0</v>
      </c>
    </row>
    <row r="633" spans="3:19" x14ac:dyDescent="0.25">
      <c r="C633" s="30" t="s">
        <v>248</v>
      </c>
      <c r="D633" s="30"/>
      <c r="E633" s="34"/>
      <c r="G633" s="7"/>
      <c r="H633" s="40"/>
      <c r="I633" s="33"/>
      <c r="J633" s="40"/>
      <c r="K633" s="33"/>
      <c r="L633" s="40"/>
      <c r="M633" s="33"/>
      <c r="N633" s="40"/>
      <c r="O633" s="33"/>
      <c r="P633" s="40"/>
      <c r="Q633" s="33"/>
      <c r="R633" s="40"/>
      <c r="S633" s="29">
        <f t="shared" si="24"/>
        <v>0</v>
      </c>
    </row>
    <row r="634" spans="3:19" ht="12" customHeight="1" x14ac:dyDescent="0.25">
      <c r="C634" s="30"/>
      <c r="D634" s="30"/>
      <c r="E634" s="34" t="s">
        <v>48</v>
      </c>
      <c r="F634" s="18">
        <f>SUM(H634:L634)</f>
        <v>117000</v>
      </c>
      <c r="G634" s="35"/>
      <c r="H634" s="33">
        <v>0</v>
      </c>
      <c r="I634" s="57"/>
      <c r="J634" s="33">
        <v>110000</v>
      </c>
      <c r="K634" s="57"/>
      <c r="L634" s="33">
        <v>7000</v>
      </c>
      <c r="M634" s="57"/>
      <c r="N634" s="33">
        <v>0</v>
      </c>
      <c r="O634" s="57"/>
      <c r="P634" s="33">
        <v>117000</v>
      </c>
      <c r="Q634" s="57"/>
      <c r="R634" s="33">
        <v>0</v>
      </c>
      <c r="S634" s="29">
        <f t="shared" si="24"/>
        <v>0</v>
      </c>
    </row>
    <row r="635" spans="3:19" x14ac:dyDescent="0.25">
      <c r="C635" s="30" t="s">
        <v>253</v>
      </c>
      <c r="D635" s="30"/>
      <c r="E635" s="34"/>
      <c r="F635" s="18">
        <f>SUM(H635:L635)</f>
        <v>140000</v>
      </c>
      <c r="G635" s="35"/>
      <c r="H635" s="33">
        <v>0</v>
      </c>
      <c r="I635" s="57"/>
      <c r="J635" s="33">
        <v>119000</v>
      </c>
      <c r="K635" s="57"/>
      <c r="L635" s="33">
        <v>21000</v>
      </c>
      <c r="M635" s="57"/>
      <c r="N635" s="33">
        <v>56000</v>
      </c>
      <c r="O635" s="57"/>
      <c r="P635" s="33">
        <v>84000</v>
      </c>
      <c r="Q635" s="57"/>
      <c r="R635" s="33">
        <v>0</v>
      </c>
      <c r="S635" s="29">
        <f t="shared" si="24"/>
        <v>0</v>
      </c>
    </row>
    <row r="636" spans="3:19" x14ac:dyDescent="0.25">
      <c r="C636" s="30" t="s">
        <v>254</v>
      </c>
      <c r="D636" s="30"/>
      <c r="E636" s="34"/>
      <c r="G636" s="7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29">
        <f t="shared" si="24"/>
        <v>0</v>
      </c>
    </row>
    <row r="637" spans="3:19" x14ac:dyDescent="0.25">
      <c r="C637" s="30"/>
      <c r="D637" s="30"/>
      <c r="E637" s="34" t="s">
        <v>255</v>
      </c>
      <c r="F637" s="18">
        <f t="shared" ref="F637:F649" si="27">SUM(H637:L637)</f>
        <v>1337000</v>
      </c>
      <c r="G637" s="35"/>
      <c r="H637" s="33">
        <v>0</v>
      </c>
      <c r="I637" s="57"/>
      <c r="J637" s="33">
        <v>12000</v>
      </c>
      <c r="K637" s="57"/>
      <c r="L637" s="33">
        <v>1325000</v>
      </c>
      <c r="M637" s="57"/>
      <c r="N637" s="33">
        <f>393000+1000</f>
        <v>394000</v>
      </c>
      <c r="O637" s="57"/>
      <c r="P637" s="33">
        <v>943000</v>
      </c>
      <c r="Q637" s="57"/>
      <c r="R637" s="33">
        <v>0</v>
      </c>
      <c r="S637" s="29">
        <f t="shared" si="24"/>
        <v>0</v>
      </c>
    </row>
    <row r="638" spans="3:19" x14ac:dyDescent="0.25">
      <c r="C638" s="30" t="s">
        <v>256</v>
      </c>
      <c r="D638" s="30"/>
      <c r="E638" s="34"/>
      <c r="F638" s="18">
        <f t="shared" si="27"/>
        <v>953000</v>
      </c>
      <c r="G638" s="35"/>
      <c r="H638" s="33">
        <v>0</v>
      </c>
      <c r="I638" s="57"/>
      <c r="J638" s="33">
        <v>546000</v>
      </c>
      <c r="K638" s="57"/>
      <c r="L638" s="33">
        <v>407000</v>
      </c>
      <c r="M638" s="57"/>
      <c r="N638" s="33">
        <v>481000</v>
      </c>
      <c r="O638" s="57"/>
      <c r="P638" s="33">
        <v>472000</v>
      </c>
      <c r="Q638" s="57"/>
      <c r="R638" s="33">
        <v>0</v>
      </c>
      <c r="S638" s="29">
        <f t="shared" si="24"/>
        <v>0</v>
      </c>
    </row>
    <row r="639" spans="3:19" x14ac:dyDescent="0.25">
      <c r="C639" s="30" t="s">
        <v>259</v>
      </c>
      <c r="D639" s="30"/>
      <c r="E639" s="34"/>
      <c r="F639" s="18">
        <f t="shared" si="27"/>
        <v>21636000</v>
      </c>
      <c r="G639" s="35"/>
      <c r="H639" s="33">
        <v>981000</v>
      </c>
      <c r="I639" s="57"/>
      <c r="J639" s="33">
        <v>12657000</v>
      </c>
      <c r="K639" s="57"/>
      <c r="L639" s="33">
        <v>7998000</v>
      </c>
      <c r="M639" s="57"/>
      <c r="N639" s="33">
        <v>12234000</v>
      </c>
      <c r="O639" s="57"/>
      <c r="P639" s="33">
        <v>9402000</v>
      </c>
      <c r="Q639" s="57"/>
      <c r="R639" s="33">
        <v>0</v>
      </c>
      <c r="S639" s="29">
        <f t="shared" si="24"/>
        <v>0</v>
      </c>
    </row>
    <row r="640" spans="3:19" x14ac:dyDescent="0.25">
      <c r="C640" s="30" t="s">
        <v>279</v>
      </c>
      <c r="D640" s="30"/>
      <c r="E640" s="34"/>
      <c r="F640" s="18">
        <f t="shared" si="27"/>
        <v>-109000</v>
      </c>
      <c r="G640" s="35"/>
      <c r="H640" s="33">
        <v>0</v>
      </c>
      <c r="I640" s="57"/>
      <c r="J640" s="33">
        <v>-109000</v>
      </c>
      <c r="K640" s="57"/>
      <c r="L640" s="33">
        <v>0</v>
      </c>
      <c r="M640" s="57"/>
      <c r="N640" s="33">
        <v>0</v>
      </c>
      <c r="O640" s="57"/>
      <c r="P640" s="33">
        <v>0</v>
      </c>
      <c r="Q640" s="57"/>
      <c r="R640" s="33">
        <v>109000</v>
      </c>
      <c r="S640" s="29">
        <f t="shared" ref="S640:S701" si="28">+F640-N640-P640+R640</f>
        <v>0</v>
      </c>
    </row>
    <row r="641" spans="1:19" x14ac:dyDescent="0.25">
      <c r="C641" s="30" t="s">
        <v>280</v>
      </c>
      <c r="D641" s="30"/>
      <c r="E641" s="34"/>
      <c r="F641" s="18">
        <f t="shared" si="27"/>
        <v>222000</v>
      </c>
      <c r="G641" s="35"/>
      <c r="H641" s="33">
        <v>0</v>
      </c>
      <c r="I641" s="57"/>
      <c r="J641" s="33">
        <v>2000</v>
      </c>
      <c r="K641" s="57"/>
      <c r="L641" s="33">
        <v>220000</v>
      </c>
      <c r="M641" s="57"/>
      <c r="N641" s="33">
        <v>142000</v>
      </c>
      <c r="O641" s="57"/>
      <c r="P641" s="33">
        <v>80000</v>
      </c>
      <c r="Q641" s="57"/>
      <c r="R641" s="33">
        <v>0</v>
      </c>
      <c r="S641" s="29">
        <f t="shared" si="28"/>
        <v>0</v>
      </c>
    </row>
    <row r="642" spans="1:19" x14ac:dyDescent="0.25">
      <c r="C642" s="30" t="s">
        <v>476</v>
      </c>
      <c r="D642" s="30"/>
      <c r="E642" s="34"/>
      <c r="F642" s="18">
        <f t="shared" si="27"/>
        <v>5000</v>
      </c>
      <c r="G642" s="35"/>
      <c r="H642" s="33">
        <v>0</v>
      </c>
      <c r="I642" s="57"/>
      <c r="J642" s="33">
        <v>0</v>
      </c>
      <c r="K642" s="57"/>
      <c r="L642" s="33">
        <v>5000</v>
      </c>
      <c r="M642" s="57"/>
      <c r="N642" s="33">
        <v>5000</v>
      </c>
      <c r="O642" s="57"/>
      <c r="P642" s="33">
        <v>0</v>
      </c>
      <c r="Q642" s="57"/>
      <c r="R642" s="33">
        <v>0</v>
      </c>
      <c r="S642" s="29">
        <f t="shared" si="28"/>
        <v>0</v>
      </c>
    </row>
    <row r="643" spans="1:19" x14ac:dyDescent="0.25">
      <c r="C643" s="30" t="s">
        <v>475</v>
      </c>
      <c r="D643" s="30"/>
      <c r="E643" s="34"/>
      <c r="F643" s="18">
        <f t="shared" si="27"/>
        <v>748000</v>
      </c>
      <c r="G643" s="35"/>
      <c r="H643" s="33">
        <v>0</v>
      </c>
      <c r="I643" s="57"/>
      <c r="J643" s="33">
        <v>581000</v>
      </c>
      <c r="K643" s="57"/>
      <c r="L643" s="33">
        <v>167000</v>
      </c>
      <c r="M643" s="57"/>
      <c r="N643" s="33">
        <v>446000</v>
      </c>
      <c r="O643" s="57"/>
      <c r="P643" s="33">
        <v>302000</v>
      </c>
      <c r="Q643" s="57"/>
      <c r="R643" s="33">
        <v>0</v>
      </c>
      <c r="S643" s="29">
        <f t="shared" si="28"/>
        <v>0</v>
      </c>
    </row>
    <row r="644" spans="1:19" x14ac:dyDescent="0.25">
      <c r="C644" s="30" t="s">
        <v>205</v>
      </c>
      <c r="D644" s="30"/>
      <c r="E644" s="34"/>
      <c r="F644" s="18">
        <f t="shared" si="27"/>
        <v>780000</v>
      </c>
      <c r="G644" s="35"/>
      <c r="H644" s="33">
        <v>-6715000</v>
      </c>
      <c r="I644" s="57"/>
      <c r="J644" s="33">
        <v>7306000</v>
      </c>
      <c r="K644" s="57"/>
      <c r="L644" s="33">
        <v>189000</v>
      </c>
      <c r="M644" s="57"/>
      <c r="N644" s="33">
        <f>352000</f>
        <v>352000</v>
      </c>
      <c r="O644" s="57"/>
      <c r="P644" s="33">
        <f>430000+1000</f>
        <v>431000</v>
      </c>
      <c r="Q644" s="57"/>
      <c r="R644" s="33">
        <v>3000</v>
      </c>
      <c r="S644" s="29">
        <f t="shared" si="28"/>
        <v>0</v>
      </c>
    </row>
    <row r="645" spans="1:19" x14ac:dyDescent="0.25">
      <c r="C645" s="30" t="s">
        <v>267</v>
      </c>
      <c r="D645" s="30"/>
      <c r="E645" s="34"/>
      <c r="F645" s="18">
        <f t="shared" si="27"/>
        <v>1785000</v>
      </c>
      <c r="G645" s="35"/>
      <c r="H645" s="33">
        <v>0</v>
      </c>
      <c r="I645" s="57"/>
      <c r="J645" s="33">
        <v>0</v>
      </c>
      <c r="K645" s="57"/>
      <c r="L645" s="33">
        <v>1785000</v>
      </c>
      <c r="M645" s="57"/>
      <c r="N645" s="33">
        <f>745000-1000</f>
        <v>744000</v>
      </c>
      <c r="O645" s="57"/>
      <c r="P645" s="33">
        <v>1041000</v>
      </c>
      <c r="Q645" s="57"/>
      <c r="R645" s="33">
        <v>0</v>
      </c>
      <c r="S645" s="29">
        <f t="shared" si="28"/>
        <v>0</v>
      </c>
    </row>
    <row r="646" spans="1:19" x14ac:dyDescent="0.25">
      <c r="C646" s="30" t="s">
        <v>269</v>
      </c>
      <c r="D646" s="30"/>
      <c r="E646" s="34"/>
      <c r="F646" s="18">
        <f t="shared" si="27"/>
        <v>725000</v>
      </c>
      <c r="G646" s="35"/>
      <c r="H646" s="33">
        <v>-1000</v>
      </c>
      <c r="I646" s="57"/>
      <c r="J646" s="33">
        <v>630000</v>
      </c>
      <c r="K646" s="57"/>
      <c r="L646" s="33">
        <v>96000</v>
      </c>
      <c r="M646" s="57"/>
      <c r="N646" s="33">
        <v>360000</v>
      </c>
      <c r="O646" s="57"/>
      <c r="P646" s="33">
        <v>366000</v>
      </c>
      <c r="Q646" s="57"/>
      <c r="R646" s="33">
        <v>1000</v>
      </c>
      <c r="S646" s="29">
        <f t="shared" si="28"/>
        <v>0</v>
      </c>
    </row>
    <row r="647" spans="1:19" x14ac:dyDescent="0.25">
      <c r="C647" s="30" t="s">
        <v>281</v>
      </c>
      <c r="D647" s="30"/>
      <c r="E647" s="34"/>
      <c r="F647" s="18">
        <f t="shared" si="27"/>
        <v>140000</v>
      </c>
      <c r="G647" s="35"/>
      <c r="H647" s="33">
        <v>0</v>
      </c>
      <c r="I647" s="57"/>
      <c r="J647" s="33">
        <v>132000</v>
      </c>
      <c r="K647" s="57"/>
      <c r="L647" s="33">
        <v>8000</v>
      </c>
      <c r="M647" s="57"/>
      <c r="N647" s="33">
        <v>61000</v>
      </c>
      <c r="O647" s="57"/>
      <c r="P647" s="33">
        <v>79000</v>
      </c>
      <c r="Q647" s="57"/>
      <c r="R647" s="33">
        <v>0</v>
      </c>
      <c r="S647" s="29">
        <f t="shared" si="28"/>
        <v>0</v>
      </c>
    </row>
    <row r="648" spans="1:19" x14ac:dyDescent="0.25">
      <c r="A648" s="38" t="s">
        <v>21</v>
      </c>
      <c r="C648" s="30" t="s">
        <v>282</v>
      </c>
      <c r="F648" s="18">
        <f t="shared" si="27"/>
        <v>434000</v>
      </c>
      <c r="G648" s="35"/>
      <c r="H648" s="33">
        <v>0</v>
      </c>
      <c r="I648" s="57"/>
      <c r="J648" s="33">
        <v>145000</v>
      </c>
      <c r="K648" s="57"/>
      <c r="L648" s="33">
        <v>289000</v>
      </c>
      <c r="M648" s="57"/>
      <c r="N648" s="33">
        <v>0</v>
      </c>
      <c r="O648" s="57"/>
      <c r="P648" s="33">
        <v>434000</v>
      </c>
      <c r="Q648" s="57"/>
      <c r="R648" s="33">
        <v>0</v>
      </c>
      <c r="S648" s="29">
        <f t="shared" si="28"/>
        <v>0</v>
      </c>
    </row>
    <row r="649" spans="1:19" x14ac:dyDescent="0.25">
      <c r="C649" s="30" t="s">
        <v>210</v>
      </c>
      <c r="D649" s="30"/>
      <c r="E649" s="34"/>
      <c r="F649" s="58">
        <f t="shared" si="27"/>
        <v>-285000</v>
      </c>
      <c r="G649" s="7"/>
      <c r="H649" s="36">
        <v>-106000</v>
      </c>
      <c r="I649" s="33"/>
      <c r="J649" s="36">
        <f>-111000+1000</f>
        <v>-110000</v>
      </c>
      <c r="K649" s="33"/>
      <c r="L649" s="36">
        <f>-67000-2000</f>
        <v>-69000</v>
      </c>
      <c r="M649" s="33"/>
      <c r="N649" s="36">
        <f>-268000-2000</f>
        <v>-270000</v>
      </c>
      <c r="O649" s="33"/>
      <c r="P649" s="36">
        <v>-15000</v>
      </c>
      <c r="Q649" s="33"/>
      <c r="R649" s="36">
        <v>0</v>
      </c>
      <c r="S649" s="29">
        <f t="shared" si="28"/>
        <v>0</v>
      </c>
    </row>
    <row r="650" spans="1:19" x14ac:dyDescent="0.25">
      <c r="B650" s="22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29">
        <f t="shared" si="28"/>
        <v>0</v>
      </c>
    </row>
    <row r="651" spans="1:19" x14ac:dyDescent="0.25">
      <c r="E651" s="30" t="s">
        <v>2</v>
      </c>
      <c r="F651" s="58">
        <f>SUM(H651:L651)</f>
        <v>62333000</v>
      </c>
      <c r="G651" s="7"/>
      <c r="H651" s="58">
        <f>SUM(H624:H650)</f>
        <v>-1844000</v>
      </c>
      <c r="I651" s="18"/>
      <c r="J651" s="58">
        <f>SUM(J624:J650)</f>
        <v>37442000</v>
      </c>
      <c r="K651" s="18"/>
      <c r="L651" s="58">
        <f>SUM(L624:L650)</f>
        <v>26735000</v>
      </c>
      <c r="M651" s="18"/>
      <c r="N651" s="58">
        <f>SUM(N624:N650)</f>
        <v>30239000</v>
      </c>
      <c r="O651" s="18"/>
      <c r="P651" s="58">
        <f>SUM(P624:P650)</f>
        <v>33235000</v>
      </c>
      <c r="Q651" s="18"/>
      <c r="R651" s="58">
        <f>SUM(R624:R650)</f>
        <v>1141000</v>
      </c>
      <c r="S651" s="29">
        <f t="shared" si="28"/>
        <v>0</v>
      </c>
    </row>
    <row r="652" spans="1:19" x14ac:dyDescent="0.25">
      <c r="A652" s="46"/>
      <c r="B652" s="46"/>
      <c r="C652" s="46"/>
      <c r="D652" s="46"/>
      <c r="E652" s="46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29">
        <f t="shared" si="28"/>
        <v>0</v>
      </c>
    </row>
    <row r="653" spans="1:19" x14ac:dyDescent="0.25">
      <c r="B653" s="38" t="s">
        <v>30</v>
      </c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29">
        <f t="shared" si="28"/>
        <v>0</v>
      </c>
    </row>
    <row r="654" spans="1:19" x14ac:dyDescent="0.25">
      <c r="C654" s="30" t="s">
        <v>283</v>
      </c>
      <c r="D654" s="30"/>
      <c r="E654" s="34"/>
      <c r="F654" s="18">
        <f>SUM(H654:L654)</f>
        <v>156000</v>
      </c>
      <c r="G654" s="35"/>
      <c r="H654" s="33">
        <v>156000</v>
      </c>
      <c r="I654" s="57"/>
      <c r="J654" s="33">
        <v>0</v>
      </c>
      <c r="K654" s="57"/>
      <c r="L654" s="33">
        <v>0</v>
      </c>
      <c r="M654" s="57"/>
      <c r="N654" s="33">
        <v>143000</v>
      </c>
      <c r="O654" s="57"/>
      <c r="P654" s="33">
        <v>13000</v>
      </c>
      <c r="Q654" s="57"/>
      <c r="R654" s="33">
        <v>0</v>
      </c>
      <c r="S654" s="29">
        <f t="shared" si="28"/>
        <v>0</v>
      </c>
    </row>
    <row r="655" spans="1:19" x14ac:dyDescent="0.25">
      <c r="C655" s="30" t="s">
        <v>284</v>
      </c>
      <c r="D655" s="30"/>
      <c r="E655" s="34"/>
      <c r="F655" s="18">
        <f>SUM(H655:L655)</f>
        <v>-17000</v>
      </c>
      <c r="G655" s="35"/>
      <c r="H655" s="33">
        <v>-17000</v>
      </c>
      <c r="I655" s="57"/>
      <c r="J655" s="33">
        <v>0</v>
      </c>
      <c r="K655" s="57"/>
      <c r="L655" s="33">
        <v>0</v>
      </c>
      <c r="M655" s="57"/>
      <c r="N655" s="33">
        <v>-12000</v>
      </c>
      <c r="O655" s="57"/>
      <c r="P655" s="33">
        <v>-5000</v>
      </c>
      <c r="Q655" s="57"/>
      <c r="R655" s="33">
        <v>0</v>
      </c>
      <c r="S655" s="29">
        <f t="shared" si="28"/>
        <v>0</v>
      </c>
    </row>
    <row r="656" spans="1:19" x14ac:dyDescent="0.25">
      <c r="C656" s="30" t="s">
        <v>276</v>
      </c>
      <c r="D656" s="30"/>
      <c r="E656" s="34"/>
      <c r="F656" s="18">
        <f>SUM(H656:L656)</f>
        <v>354000</v>
      </c>
      <c r="G656" s="35"/>
      <c r="H656" s="33">
        <v>354000</v>
      </c>
      <c r="I656" s="57"/>
      <c r="J656" s="33">
        <v>0</v>
      </c>
      <c r="K656" s="57"/>
      <c r="L656" s="33">
        <v>0</v>
      </c>
      <c r="M656" s="57"/>
      <c r="N656" s="33">
        <v>249000</v>
      </c>
      <c r="O656" s="57"/>
      <c r="P656" s="33">
        <v>105000</v>
      </c>
      <c r="Q656" s="57"/>
      <c r="R656" s="33">
        <v>0</v>
      </c>
      <c r="S656" s="29">
        <f t="shared" si="28"/>
        <v>0</v>
      </c>
    </row>
    <row r="657" spans="2:19" x14ac:dyDescent="0.25">
      <c r="C657" s="30" t="s">
        <v>285</v>
      </c>
      <c r="D657" s="30"/>
      <c r="E657" s="34"/>
      <c r="F657" s="18">
        <f>SUM(H657:L657)</f>
        <v>958000</v>
      </c>
      <c r="G657" s="35"/>
      <c r="H657" s="33">
        <v>446000</v>
      </c>
      <c r="I657" s="57"/>
      <c r="J657" s="33">
        <v>512000</v>
      </c>
      <c r="K657" s="57"/>
      <c r="L657" s="33">
        <v>0</v>
      </c>
      <c r="M657" s="57"/>
      <c r="N657" s="33">
        <v>658000</v>
      </c>
      <c r="O657" s="57"/>
      <c r="P657" s="33">
        <v>300000</v>
      </c>
      <c r="Q657" s="57"/>
      <c r="R657" s="33">
        <v>0</v>
      </c>
      <c r="S657" s="29">
        <f t="shared" si="28"/>
        <v>0</v>
      </c>
    </row>
    <row r="658" spans="2:19" x14ac:dyDescent="0.25">
      <c r="C658" s="30" t="s">
        <v>286</v>
      </c>
      <c r="D658" s="30"/>
      <c r="E658" s="34"/>
      <c r="F658" s="18">
        <f>SUM(H658:L658)</f>
        <v>5294000</v>
      </c>
      <c r="G658" s="35"/>
      <c r="H658" s="33">
        <v>3012000</v>
      </c>
      <c r="I658" s="57"/>
      <c r="J658" s="33">
        <v>2282000</v>
      </c>
      <c r="K658" s="57"/>
      <c r="L658" s="33">
        <v>0</v>
      </c>
      <c r="M658" s="57"/>
      <c r="N658" s="33">
        <v>3211000</v>
      </c>
      <c r="O658" s="57"/>
      <c r="P658" s="33">
        <v>3350000</v>
      </c>
      <c r="Q658" s="57"/>
      <c r="R658" s="33">
        <v>1267000</v>
      </c>
      <c r="S658" s="29">
        <f t="shared" si="28"/>
        <v>0</v>
      </c>
    </row>
    <row r="659" spans="2:19" x14ac:dyDescent="0.25">
      <c r="C659" s="30" t="s">
        <v>287</v>
      </c>
      <c r="D659" s="30"/>
      <c r="E659" s="34"/>
      <c r="S659" s="29">
        <f t="shared" si="28"/>
        <v>0</v>
      </c>
    </row>
    <row r="660" spans="2:19" x14ac:dyDescent="0.25">
      <c r="C660" s="30"/>
      <c r="D660" s="30"/>
      <c r="E660" s="34" t="s">
        <v>48</v>
      </c>
      <c r="F660" s="18">
        <f>SUM(H660:L660)</f>
        <v>349000</v>
      </c>
      <c r="G660" s="35"/>
      <c r="H660" s="33">
        <v>0</v>
      </c>
      <c r="I660" s="57"/>
      <c r="J660" s="33">
        <v>350000</v>
      </c>
      <c r="K660" s="57"/>
      <c r="L660" s="33">
        <v>-1000</v>
      </c>
      <c r="M660" s="57"/>
      <c r="N660" s="33">
        <v>640000</v>
      </c>
      <c r="O660" s="57"/>
      <c r="P660" s="33">
        <v>3340000</v>
      </c>
      <c r="Q660" s="57"/>
      <c r="R660" s="33">
        <v>3631000</v>
      </c>
      <c r="S660" s="29">
        <f t="shared" si="28"/>
        <v>0</v>
      </c>
    </row>
    <row r="661" spans="2:19" x14ac:dyDescent="0.25">
      <c r="C661" s="30" t="s">
        <v>288</v>
      </c>
      <c r="D661" s="30"/>
      <c r="E661" s="34"/>
      <c r="F661" s="18">
        <f>SUM(H661:L661)</f>
        <v>340000</v>
      </c>
      <c r="G661" s="35"/>
      <c r="H661" s="33">
        <v>145000</v>
      </c>
      <c r="I661" s="57"/>
      <c r="J661" s="33">
        <v>187000</v>
      </c>
      <c r="K661" s="57"/>
      <c r="L661" s="33">
        <v>8000</v>
      </c>
      <c r="M661" s="57"/>
      <c r="N661" s="33">
        <v>209000</v>
      </c>
      <c r="O661" s="57"/>
      <c r="P661" s="33">
        <v>131000</v>
      </c>
      <c r="Q661" s="57"/>
      <c r="R661" s="33">
        <v>0</v>
      </c>
      <c r="S661" s="29">
        <f t="shared" si="28"/>
        <v>0</v>
      </c>
    </row>
    <row r="662" spans="2:19" x14ac:dyDescent="0.25">
      <c r="C662" s="30" t="s">
        <v>197</v>
      </c>
      <c r="D662" s="30"/>
      <c r="E662" s="34"/>
      <c r="F662" s="18">
        <f>SUM(H662:L662)</f>
        <v>309000</v>
      </c>
      <c r="G662" s="35"/>
      <c r="H662" s="33">
        <v>141000</v>
      </c>
      <c r="I662" s="57"/>
      <c r="J662" s="33">
        <v>168000</v>
      </c>
      <c r="K662" s="57"/>
      <c r="L662" s="33">
        <v>0</v>
      </c>
      <c r="M662" s="57"/>
      <c r="N662" s="33">
        <v>219000</v>
      </c>
      <c r="O662" s="57"/>
      <c r="P662" s="33">
        <v>90000</v>
      </c>
      <c r="Q662" s="57"/>
      <c r="R662" s="33">
        <v>0</v>
      </c>
      <c r="S662" s="29">
        <f t="shared" si="28"/>
        <v>0</v>
      </c>
    </row>
    <row r="663" spans="2:19" x14ac:dyDescent="0.25">
      <c r="C663" s="30" t="s">
        <v>289</v>
      </c>
      <c r="D663" s="30"/>
      <c r="E663" s="34"/>
      <c r="F663" s="18">
        <f>SUM(H663:L663)</f>
        <v>874000</v>
      </c>
      <c r="G663" s="35"/>
      <c r="H663" s="33">
        <v>1547000</v>
      </c>
      <c r="I663" s="57"/>
      <c r="J663" s="33">
        <v>-673000</v>
      </c>
      <c r="K663" s="57"/>
      <c r="L663" s="33">
        <v>0</v>
      </c>
      <c r="M663" s="57"/>
      <c r="N663" s="33">
        <v>3433000</v>
      </c>
      <c r="O663" s="57"/>
      <c r="P663" s="33">
        <v>6278000</v>
      </c>
      <c r="Q663" s="57"/>
      <c r="R663" s="33">
        <v>8837000</v>
      </c>
      <c r="S663" s="29">
        <f t="shared" si="28"/>
        <v>0</v>
      </c>
    </row>
    <row r="664" spans="2:19" x14ac:dyDescent="0.25">
      <c r="C664" s="30" t="s">
        <v>290</v>
      </c>
      <c r="D664" s="30"/>
      <c r="E664" s="34"/>
      <c r="F664" s="18">
        <f>SUM(H664:L664)</f>
        <v>9001000</v>
      </c>
      <c r="G664" s="35"/>
      <c r="H664" s="33">
        <v>9719000</v>
      </c>
      <c r="I664" s="57"/>
      <c r="J664" s="33">
        <v>-718000</v>
      </c>
      <c r="K664" s="57"/>
      <c r="L664" s="33">
        <v>0</v>
      </c>
      <c r="M664" s="57"/>
      <c r="N664" s="33">
        <v>2992000</v>
      </c>
      <c r="O664" s="57"/>
      <c r="P664" s="33">
        <f>16226000+1000</f>
        <v>16227000</v>
      </c>
      <c r="Q664" s="57"/>
      <c r="R664" s="33">
        <v>10218000</v>
      </c>
      <c r="S664" s="29">
        <f t="shared" si="28"/>
        <v>0</v>
      </c>
    </row>
    <row r="665" spans="2:19" x14ac:dyDescent="0.25">
      <c r="C665" s="30" t="s">
        <v>484</v>
      </c>
      <c r="D665" s="30"/>
      <c r="E665" s="34"/>
      <c r="F665" s="18">
        <f t="shared" ref="F665:F671" si="29">SUM(H665:L665)</f>
        <v>7109000</v>
      </c>
      <c r="G665" s="35"/>
      <c r="H665" s="33">
        <f>749000+380000</f>
        <v>1129000</v>
      </c>
      <c r="I665" s="57"/>
      <c r="J665" s="33">
        <f>2725000+2999000</f>
        <v>5724000</v>
      </c>
      <c r="K665" s="57"/>
      <c r="L665" s="33">
        <f>94000+162000</f>
        <v>256000</v>
      </c>
      <c r="M665" s="57"/>
      <c r="N665" s="33">
        <f>2278000+2028000</f>
        <v>4306000</v>
      </c>
      <c r="O665" s="57"/>
      <c r="P665" s="33">
        <f>1703000+1513000</f>
        <v>3216000</v>
      </c>
      <c r="Q665" s="57"/>
      <c r="R665" s="33">
        <f>414000-1000</f>
        <v>413000</v>
      </c>
      <c r="S665" s="29">
        <f t="shared" si="28"/>
        <v>0</v>
      </c>
    </row>
    <row r="666" spans="2:19" x14ac:dyDescent="0.25">
      <c r="C666" s="30" t="s">
        <v>242</v>
      </c>
      <c r="D666" s="30"/>
      <c r="E666" s="34"/>
      <c r="F666" s="18">
        <f t="shared" si="29"/>
        <v>313000</v>
      </c>
      <c r="G666" s="35"/>
      <c r="H666" s="33">
        <v>282000</v>
      </c>
      <c r="I666" s="57"/>
      <c r="J666" s="33">
        <v>4000</v>
      </c>
      <c r="K666" s="57"/>
      <c r="L666" s="33">
        <v>27000</v>
      </c>
      <c r="M666" s="57"/>
      <c r="N666" s="33">
        <f>203000+1000</f>
        <v>204000</v>
      </c>
      <c r="O666" s="57"/>
      <c r="P666" s="33">
        <v>109000</v>
      </c>
      <c r="Q666" s="57"/>
      <c r="R666" s="33">
        <v>0</v>
      </c>
      <c r="S666" s="29">
        <f t="shared" si="28"/>
        <v>0</v>
      </c>
    </row>
    <row r="667" spans="2:19" x14ac:dyDescent="0.25">
      <c r="C667" s="30" t="s">
        <v>201</v>
      </c>
      <c r="D667" s="30"/>
      <c r="E667" s="34"/>
      <c r="F667" s="18">
        <f t="shared" si="29"/>
        <v>272000</v>
      </c>
      <c r="G667" s="35"/>
      <c r="H667" s="33">
        <v>106000</v>
      </c>
      <c r="I667" s="57"/>
      <c r="J667" s="33">
        <v>60000</v>
      </c>
      <c r="K667" s="57"/>
      <c r="L667" s="33">
        <v>106000</v>
      </c>
      <c r="M667" s="57"/>
      <c r="N667" s="33">
        <f>387000-1000</f>
        <v>386000</v>
      </c>
      <c r="O667" s="57"/>
      <c r="P667" s="33">
        <v>399000</v>
      </c>
      <c r="Q667" s="57"/>
      <c r="R667" s="33">
        <v>513000</v>
      </c>
      <c r="S667" s="29">
        <f t="shared" si="28"/>
        <v>0</v>
      </c>
    </row>
    <row r="668" spans="2:19" x14ac:dyDescent="0.25">
      <c r="C668" s="30" t="s">
        <v>291</v>
      </c>
      <c r="F668" s="18">
        <f t="shared" si="29"/>
        <v>60947000</v>
      </c>
      <c r="G668" s="35"/>
      <c r="H668" s="33">
        <v>41205000</v>
      </c>
      <c r="I668" s="57"/>
      <c r="J668" s="33">
        <v>4803000</v>
      </c>
      <c r="K668" s="57"/>
      <c r="L668" s="33">
        <v>14939000</v>
      </c>
      <c r="M668" s="57"/>
      <c r="N668" s="33">
        <v>25876000</v>
      </c>
      <c r="O668" s="57"/>
      <c r="P668" s="33">
        <v>35071000</v>
      </c>
      <c r="Q668" s="57"/>
      <c r="R668" s="33">
        <v>0</v>
      </c>
      <c r="S668" s="29">
        <f t="shared" si="28"/>
        <v>0</v>
      </c>
    </row>
    <row r="669" spans="2:19" x14ac:dyDescent="0.25">
      <c r="B669" s="22"/>
      <c r="C669" s="30" t="s">
        <v>292</v>
      </c>
      <c r="D669" s="30"/>
      <c r="E669" s="34"/>
      <c r="F669" s="18">
        <f t="shared" si="29"/>
        <v>52000</v>
      </c>
      <c r="G669" s="35"/>
      <c r="H669" s="33">
        <v>52000</v>
      </c>
      <c r="I669" s="57"/>
      <c r="J669" s="33">
        <v>0</v>
      </c>
      <c r="K669" s="57"/>
      <c r="L669" s="33">
        <v>0</v>
      </c>
      <c r="M669" s="57"/>
      <c r="N669" s="33">
        <v>37000</v>
      </c>
      <c r="O669" s="57"/>
      <c r="P669" s="33">
        <v>15000</v>
      </c>
      <c r="Q669" s="57"/>
      <c r="R669" s="33">
        <v>0</v>
      </c>
      <c r="S669" s="29">
        <f t="shared" si="28"/>
        <v>0</v>
      </c>
    </row>
    <row r="670" spans="2:19" x14ac:dyDescent="0.25">
      <c r="C670" s="30" t="s">
        <v>262</v>
      </c>
      <c r="D670" s="30"/>
      <c r="E670" s="34"/>
      <c r="F670" s="18">
        <f t="shared" si="29"/>
        <v>1016000</v>
      </c>
      <c r="G670" s="35"/>
      <c r="H670" s="33">
        <f>583000+1000</f>
        <v>584000</v>
      </c>
      <c r="I670" s="57"/>
      <c r="J670" s="33">
        <v>14000</v>
      </c>
      <c r="K670" s="57"/>
      <c r="L670" s="33">
        <v>418000</v>
      </c>
      <c r="M670" s="57"/>
      <c r="N670" s="33">
        <v>618000</v>
      </c>
      <c r="O670" s="57"/>
      <c r="P670" s="33">
        <v>399000</v>
      </c>
      <c r="Q670" s="57"/>
      <c r="R670" s="33">
        <v>1000</v>
      </c>
      <c r="S670" s="29">
        <f t="shared" si="28"/>
        <v>0</v>
      </c>
    </row>
    <row r="671" spans="2:19" x14ac:dyDescent="0.25">
      <c r="C671" s="30" t="s">
        <v>204</v>
      </c>
      <c r="D671" s="30"/>
      <c r="E671" s="34"/>
      <c r="F671" s="18">
        <f t="shared" si="29"/>
        <v>1555000</v>
      </c>
      <c r="G671" s="35"/>
      <c r="H671" s="33">
        <v>953000</v>
      </c>
      <c r="I671" s="57"/>
      <c r="J671" s="33">
        <f>44000-1000</f>
        <v>43000</v>
      </c>
      <c r="K671" s="57"/>
      <c r="L671" s="33">
        <v>559000</v>
      </c>
      <c r="M671" s="57"/>
      <c r="N671" s="33">
        <v>988000</v>
      </c>
      <c r="O671" s="57"/>
      <c r="P671" s="33">
        <v>575000</v>
      </c>
      <c r="Q671" s="57"/>
      <c r="R671" s="33">
        <v>8000</v>
      </c>
      <c r="S671" s="29">
        <f t="shared" si="28"/>
        <v>0</v>
      </c>
    </row>
    <row r="672" spans="2:19" x14ac:dyDescent="0.25">
      <c r="C672" s="30" t="s">
        <v>293</v>
      </c>
      <c r="D672" s="30"/>
      <c r="E672" s="34"/>
      <c r="G672" s="7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29">
        <f t="shared" si="28"/>
        <v>0</v>
      </c>
    </row>
    <row r="673" spans="3:19" x14ac:dyDescent="0.25">
      <c r="C673" s="29"/>
      <c r="D673" s="30"/>
      <c r="E673" s="34" t="s">
        <v>294</v>
      </c>
      <c r="F673" s="18">
        <f>SUM(H673:L673)</f>
        <v>62000</v>
      </c>
      <c r="G673" s="35"/>
      <c r="H673" s="33">
        <v>30000</v>
      </c>
      <c r="I673" s="57"/>
      <c r="J673" s="33">
        <v>22000</v>
      </c>
      <c r="K673" s="57"/>
      <c r="L673" s="33">
        <v>10000</v>
      </c>
      <c r="M673" s="57"/>
      <c r="N673" s="33">
        <v>47000</v>
      </c>
      <c r="O673" s="57"/>
      <c r="P673" s="33">
        <v>15000</v>
      </c>
      <c r="Q673" s="57"/>
      <c r="R673" s="33">
        <v>0</v>
      </c>
      <c r="S673" s="29">
        <f t="shared" si="28"/>
        <v>0</v>
      </c>
    </row>
    <row r="674" spans="3:19" x14ac:dyDescent="0.25">
      <c r="C674" s="30" t="s">
        <v>295</v>
      </c>
      <c r="D674" s="30"/>
      <c r="E674" s="34"/>
      <c r="F674" s="18">
        <f>SUM(H674:L674)</f>
        <v>2938000</v>
      </c>
      <c r="G674" s="35"/>
      <c r="H674" s="33">
        <v>3237000</v>
      </c>
      <c r="I674" s="57"/>
      <c r="J674" s="33">
        <v>-306000</v>
      </c>
      <c r="K674" s="57"/>
      <c r="L674" s="33">
        <v>7000</v>
      </c>
      <c r="M674" s="57"/>
      <c r="N674" s="33">
        <v>2787000</v>
      </c>
      <c r="O674" s="57"/>
      <c r="P674" s="33">
        <v>3191000</v>
      </c>
      <c r="Q674" s="57"/>
      <c r="R674" s="33">
        <v>3040000</v>
      </c>
      <c r="S674" s="29">
        <f t="shared" si="28"/>
        <v>0</v>
      </c>
    </row>
    <row r="675" spans="3:19" x14ac:dyDescent="0.25">
      <c r="C675" s="30" t="s">
        <v>296</v>
      </c>
      <c r="D675" s="30"/>
      <c r="E675" s="34"/>
      <c r="F675" s="18">
        <f>SUM(H675:L675)</f>
        <v>958000</v>
      </c>
      <c r="G675" s="35"/>
      <c r="H675" s="33">
        <v>-311000</v>
      </c>
      <c r="I675" s="57"/>
      <c r="J675" s="33">
        <v>1252000</v>
      </c>
      <c r="K675" s="57"/>
      <c r="L675" s="33">
        <v>17000</v>
      </c>
      <c r="M675" s="57"/>
      <c r="N675" s="33">
        <v>1237000</v>
      </c>
      <c r="O675" s="57"/>
      <c r="P675" s="33">
        <v>-278000</v>
      </c>
      <c r="Q675" s="57"/>
      <c r="R675" s="33">
        <v>1000</v>
      </c>
      <c r="S675" s="29">
        <f t="shared" si="28"/>
        <v>0</v>
      </c>
    </row>
    <row r="676" spans="3:19" x14ac:dyDescent="0.25">
      <c r="C676" s="30" t="s">
        <v>205</v>
      </c>
      <c r="D676" s="30"/>
      <c r="E676" s="34"/>
      <c r="F676" s="18">
        <f>SUM(H676:L676)</f>
        <v>1989000</v>
      </c>
      <c r="G676" s="35"/>
      <c r="H676" s="33">
        <v>2068000</v>
      </c>
      <c r="I676" s="57"/>
      <c r="J676" s="33">
        <v>-132000</v>
      </c>
      <c r="K676" s="57"/>
      <c r="L676" s="33">
        <v>53000</v>
      </c>
      <c r="M676" s="57"/>
      <c r="N676" s="33">
        <v>67000</v>
      </c>
      <c r="O676" s="57"/>
      <c r="P676" s="33">
        <v>2285000</v>
      </c>
      <c r="Q676" s="57"/>
      <c r="R676" s="33">
        <v>363000</v>
      </c>
      <c r="S676" s="29">
        <f t="shared" si="28"/>
        <v>0</v>
      </c>
    </row>
    <row r="677" spans="3:19" x14ac:dyDescent="0.25">
      <c r="C677" s="30" t="s">
        <v>297</v>
      </c>
      <c r="D677" s="30"/>
      <c r="E677" s="34"/>
      <c r="G677" s="7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29">
        <f t="shared" si="28"/>
        <v>0</v>
      </c>
    </row>
    <row r="678" spans="3:19" x14ac:dyDescent="0.25">
      <c r="C678" s="29"/>
      <c r="D678" s="30"/>
      <c r="E678" s="30" t="s">
        <v>298</v>
      </c>
      <c r="F678" s="18">
        <f t="shared" ref="F678:F688" si="30">SUM(H678:L678)</f>
        <v>3616000</v>
      </c>
      <c r="G678" s="35"/>
      <c r="H678" s="33">
        <v>1681000</v>
      </c>
      <c r="I678" s="57"/>
      <c r="J678" s="33">
        <v>1771000</v>
      </c>
      <c r="K678" s="57"/>
      <c r="L678" s="33">
        <v>164000</v>
      </c>
      <c r="M678" s="57"/>
      <c r="N678" s="33">
        <v>2162000</v>
      </c>
      <c r="O678" s="57"/>
      <c r="P678" s="33">
        <v>1454000</v>
      </c>
      <c r="Q678" s="57"/>
      <c r="R678" s="33">
        <v>0</v>
      </c>
      <c r="S678" s="29">
        <f t="shared" si="28"/>
        <v>0</v>
      </c>
    </row>
    <row r="679" spans="3:19" x14ac:dyDescent="0.25">
      <c r="C679" s="30" t="s">
        <v>477</v>
      </c>
      <c r="D679" s="30"/>
      <c r="E679" s="34"/>
      <c r="F679" s="18">
        <f t="shared" si="30"/>
        <v>2813000</v>
      </c>
      <c r="G679" s="35"/>
      <c r="H679" s="33">
        <v>0</v>
      </c>
      <c r="I679" s="57"/>
      <c r="J679" s="33">
        <v>2813000</v>
      </c>
      <c r="K679" s="57"/>
      <c r="L679" s="33">
        <v>0</v>
      </c>
      <c r="M679" s="57"/>
      <c r="N679" s="33">
        <v>1896000</v>
      </c>
      <c r="O679" s="57"/>
      <c r="P679" s="33">
        <v>917000</v>
      </c>
      <c r="Q679" s="57"/>
      <c r="R679" s="33">
        <v>0</v>
      </c>
      <c r="S679" s="29">
        <f t="shared" si="28"/>
        <v>0</v>
      </c>
    </row>
    <row r="680" spans="3:19" x14ac:dyDescent="0.25">
      <c r="C680" s="30" t="s">
        <v>299</v>
      </c>
      <c r="D680" s="30"/>
      <c r="E680" s="34"/>
      <c r="F680" s="18">
        <f t="shared" si="30"/>
        <v>700000</v>
      </c>
      <c r="G680" s="35"/>
      <c r="H680" s="33">
        <v>262000</v>
      </c>
      <c r="I680" s="57"/>
      <c r="J680" s="33">
        <v>438000</v>
      </c>
      <c r="K680" s="57"/>
      <c r="L680" s="33">
        <v>0</v>
      </c>
      <c r="M680" s="57"/>
      <c r="N680" s="33">
        <f>638000+1000</f>
        <v>639000</v>
      </c>
      <c r="O680" s="57"/>
      <c r="P680" s="33">
        <v>265000</v>
      </c>
      <c r="Q680" s="57"/>
      <c r="R680" s="33">
        <v>204000</v>
      </c>
      <c r="S680" s="29">
        <f t="shared" si="28"/>
        <v>0</v>
      </c>
    </row>
    <row r="681" spans="3:19" x14ac:dyDescent="0.25">
      <c r="C681" s="30" t="s">
        <v>478</v>
      </c>
      <c r="D681" s="30"/>
      <c r="E681" s="34"/>
      <c r="F681" s="18">
        <f t="shared" si="30"/>
        <v>732000</v>
      </c>
      <c r="G681" s="35"/>
      <c r="H681" s="33">
        <v>264000</v>
      </c>
      <c r="I681" s="57"/>
      <c r="J681" s="33">
        <f>402000-1000</f>
        <v>401000</v>
      </c>
      <c r="K681" s="57"/>
      <c r="L681" s="33">
        <v>67000</v>
      </c>
      <c r="M681" s="57"/>
      <c r="N681" s="33">
        <f>494000-1000</f>
        <v>493000</v>
      </c>
      <c r="O681" s="57"/>
      <c r="P681" s="33">
        <v>239000</v>
      </c>
      <c r="Q681" s="57"/>
      <c r="R681" s="33">
        <v>0</v>
      </c>
      <c r="S681" s="29">
        <f t="shared" si="28"/>
        <v>0</v>
      </c>
    </row>
    <row r="682" spans="3:19" x14ac:dyDescent="0.25">
      <c r="C682" s="30" t="s">
        <v>267</v>
      </c>
      <c r="D682" s="30"/>
      <c r="E682" s="34"/>
      <c r="F682" s="18">
        <f t="shared" si="30"/>
        <v>-38000</v>
      </c>
      <c r="G682" s="35"/>
      <c r="H682" s="33">
        <v>0</v>
      </c>
      <c r="I682" s="57"/>
      <c r="J682" s="33">
        <v>-38000</v>
      </c>
      <c r="K682" s="57"/>
      <c r="L682" s="33">
        <v>0</v>
      </c>
      <c r="M682" s="57"/>
      <c r="N682" s="33">
        <v>806000</v>
      </c>
      <c r="O682" s="57"/>
      <c r="P682" s="33">
        <v>490000</v>
      </c>
      <c r="Q682" s="57"/>
      <c r="R682" s="33">
        <v>1334000</v>
      </c>
      <c r="S682" s="29">
        <f t="shared" si="28"/>
        <v>0</v>
      </c>
    </row>
    <row r="683" spans="3:19" x14ac:dyDescent="0.25">
      <c r="C683" s="30" t="s">
        <v>300</v>
      </c>
      <c r="D683" s="30"/>
      <c r="E683" s="34"/>
      <c r="F683" s="18">
        <f t="shared" si="30"/>
        <v>118000</v>
      </c>
      <c r="G683" s="35"/>
      <c r="H683" s="33">
        <v>118000</v>
      </c>
      <c r="I683" s="57"/>
      <c r="J683" s="33">
        <v>0</v>
      </c>
      <c r="K683" s="57"/>
      <c r="L683" s="33">
        <v>0</v>
      </c>
      <c r="M683" s="57"/>
      <c r="N683" s="33">
        <v>84000</v>
      </c>
      <c r="O683" s="57"/>
      <c r="P683" s="33">
        <v>34000</v>
      </c>
      <c r="Q683" s="57"/>
      <c r="R683" s="33">
        <v>0</v>
      </c>
      <c r="S683" s="29">
        <f t="shared" si="28"/>
        <v>0</v>
      </c>
    </row>
    <row r="684" spans="3:19" x14ac:dyDescent="0.25">
      <c r="C684" s="30" t="s">
        <v>269</v>
      </c>
      <c r="D684" s="30"/>
      <c r="E684" s="34"/>
      <c r="F684" s="18">
        <f t="shared" si="30"/>
        <v>1916000</v>
      </c>
      <c r="G684" s="35"/>
      <c r="H684" s="33">
        <v>775000</v>
      </c>
      <c r="I684" s="57"/>
      <c r="J684" s="33">
        <v>123000</v>
      </c>
      <c r="K684" s="57"/>
      <c r="L684" s="33">
        <v>1018000</v>
      </c>
      <c r="M684" s="57"/>
      <c r="N684" s="33">
        <v>1235000</v>
      </c>
      <c r="O684" s="57"/>
      <c r="P684" s="33">
        <v>681000</v>
      </c>
      <c r="Q684" s="57"/>
      <c r="R684" s="33">
        <v>0</v>
      </c>
      <c r="S684" s="29">
        <f t="shared" si="28"/>
        <v>0</v>
      </c>
    </row>
    <row r="685" spans="3:19" x14ac:dyDescent="0.25">
      <c r="C685" s="30" t="s">
        <v>272</v>
      </c>
      <c r="D685" s="30"/>
      <c r="E685" s="34"/>
      <c r="F685" s="18">
        <f t="shared" si="30"/>
        <v>814000</v>
      </c>
      <c r="G685" s="35"/>
      <c r="H685" s="33">
        <v>459000</v>
      </c>
      <c r="I685" s="57"/>
      <c r="J685" s="33">
        <v>13000</v>
      </c>
      <c r="K685" s="57"/>
      <c r="L685" s="33">
        <v>342000</v>
      </c>
      <c r="M685" s="57"/>
      <c r="N685" s="33">
        <v>486000</v>
      </c>
      <c r="O685" s="57"/>
      <c r="P685" s="33">
        <v>328000</v>
      </c>
      <c r="Q685" s="57"/>
      <c r="R685" s="33">
        <v>0</v>
      </c>
      <c r="S685" s="29">
        <f t="shared" si="28"/>
        <v>0</v>
      </c>
    </row>
    <row r="686" spans="3:19" x14ac:dyDescent="0.25">
      <c r="C686" s="30" t="s">
        <v>301</v>
      </c>
      <c r="D686" s="30"/>
      <c r="E686" s="34"/>
      <c r="F686" s="18">
        <f t="shared" si="30"/>
        <v>1468000</v>
      </c>
      <c r="G686" s="35"/>
      <c r="H686" s="33">
        <v>573000</v>
      </c>
      <c r="I686" s="57"/>
      <c r="J686" s="33">
        <v>652000</v>
      </c>
      <c r="K686" s="57"/>
      <c r="L686" s="33">
        <v>243000</v>
      </c>
      <c r="M686" s="57"/>
      <c r="N686" s="33">
        <f>1021000+2000</f>
        <v>1023000</v>
      </c>
      <c r="O686" s="57"/>
      <c r="P686" s="33">
        <f>2319000-1000</f>
        <v>2318000</v>
      </c>
      <c r="Q686" s="57"/>
      <c r="R686" s="33">
        <f>1871000+1000+1000</f>
        <v>1873000</v>
      </c>
      <c r="S686" s="29">
        <f t="shared" si="28"/>
        <v>0</v>
      </c>
    </row>
    <row r="687" spans="3:19" x14ac:dyDescent="0.25">
      <c r="C687" s="30" t="s">
        <v>210</v>
      </c>
      <c r="D687" s="30"/>
      <c r="E687" s="34"/>
      <c r="F687" s="18">
        <f t="shared" si="30"/>
        <v>-489000</v>
      </c>
      <c r="G687" s="35"/>
      <c r="H687" s="33">
        <f>-682000-1000</f>
        <v>-683000</v>
      </c>
      <c r="I687" s="57"/>
      <c r="J687" s="33">
        <f>319000-1000</f>
        <v>318000</v>
      </c>
      <c r="K687" s="57"/>
      <c r="L687" s="33">
        <v>-124000</v>
      </c>
      <c r="M687" s="57"/>
      <c r="N687" s="33">
        <f>-464000-2000</f>
        <v>-466000</v>
      </c>
      <c r="O687" s="57"/>
      <c r="P687" s="33">
        <v>-23000</v>
      </c>
      <c r="Q687" s="57"/>
      <c r="R687" s="33">
        <v>0</v>
      </c>
      <c r="S687" s="29">
        <f t="shared" si="28"/>
        <v>0</v>
      </c>
    </row>
    <row r="688" spans="3:19" x14ac:dyDescent="0.25">
      <c r="C688" s="30" t="s">
        <v>211</v>
      </c>
      <c r="D688" s="30"/>
      <c r="E688" s="34"/>
      <c r="F688" s="58">
        <f t="shared" si="30"/>
        <v>0</v>
      </c>
      <c r="G688" s="7"/>
      <c r="H688" s="36">
        <v>-9226000</v>
      </c>
      <c r="I688" s="33"/>
      <c r="J688" s="36">
        <v>9226000</v>
      </c>
      <c r="K688" s="33"/>
      <c r="L688" s="36">
        <v>0</v>
      </c>
      <c r="M688" s="33"/>
      <c r="N688" s="36">
        <v>0</v>
      </c>
      <c r="O688" s="33"/>
      <c r="P688" s="36">
        <v>0</v>
      </c>
      <c r="Q688" s="33"/>
      <c r="R688" s="36">
        <v>0</v>
      </c>
      <c r="S688" s="29">
        <f t="shared" si="28"/>
        <v>0</v>
      </c>
    </row>
    <row r="689" spans="1:19" x14ac:dyDescent="0.25"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29">
        <f t="shared" si="28"/>
        <v>0</v>
      </c>
    </row>
    <row r="690" spans="1:19" x14ac:dyDescent="0.25">
      <c r="E690" s="30" t="s">
        <v>2</v>
      </c>
      <c r="F690" s="58">
        <f>SUM(H690:L690)</f>
        <v>106479000</v>
      </c>
      <c r="G690" s="7"/>
      <c r="H690" s="58">
        <f>SUM(H654:H689)</f>
        <v>59061000</v>
      </c>
      <c r="I690" s="18"/>
      <c r="J690" s="58">
        <f t="shared" ref="J690:R690" si="31">SUM(J654:J689)</f>
        <v>29309000</v>
      </c>
      <c r="K690" s="58">
        <f t="shared" si="31"/>
        <v>0</v>
      </c>
      <c r="L690" s="58">
        <f t="shared" si="31"/>
        <v>18109000</v>
      </c>
      <c r="M690" s="58">
        <f t="shared" si="31"/>
        <v>0</v>
      </c>
      <c r="N690" s="58">
        <f t="shared" si="31"/>
        <v>56653000</v>
      </c>
      <c r="O690" s="58">
        <f t="shared" si="31"/>
        <v>0</v>
      </c>
      <c r="P690" s="58">
        <f t="shared" si="31"/>
        <v>81529000</v>
      </c>
      <c r="Q690" s="58">
        <f t="shared" si="31"/>
        <v>0</v>
      </c>
      <c r="R690" s="58">
        <f t="shared" si="31"/>
        <v>31703000</v>
      </c>
      <c r="S690" s="29">
        <f t="shared" si="28"/>
        <v>0</v>
      </c>
    </row>
    <row r="691" spans="1:19" x14ac:dyDescent="0.25"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29">
        <f t="shared" si="28"/>
        <v>0</v>
      </c>
    </row>
    <row r="692" spans="1:19" x14ac:dyDescent="0.25">
      <c r="E692" s="30" t="s">
        <v>302</v>
      </c>
      <c r="F692" s="58">
        <f>SUM(H692:L692)</f>
        <v>393642000</v>
      </c>
      <c r="G692" s="7"/>
      <c r="H692" s="58">
        <f>+H531+H621+H651+H690</f>
        <v>-139865000</v>
      </c>
      <c r="I692" s="18"/>
      <c r="J692" s="58">
        <f>+J531+J621+J651+J690</f>
        <v>299868000</v>
      </c>
      <c r="K692" s="18"/>
      <c r="L692" s="58">
        <f>+L531+L621+L651+L690</f>
        <v>233639000</v>
      </c>
      <c r="M692" s="18"/>
      <c r="N692" s="58">
        <f>+N531+N621+N651+N690</f>
        <v>182723000</v>
      </c>
      <c r="O692" s="18"/>
      <c r="P692" s="58">
        <f>+P531+P621+P651+P690</f>
        <v>245120000</v>
      </c>
      <c r="Q692" s="18"/>
      <c r="R692" s="58">
        <f>+R531+R621+R651+R690</f>
        <v>34201000</v>
      </c>
      <c r="S692" s="29">
        <f t="shared" si="28"/>
        <v>0</v>
      </c>
    </row>
    <row r="693" spans="1:19" x14ac:dyDescent="0.25">
      <c r="G693" s="7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29">
        <f t="shared" si="28"/>
        <v>0</v>
      </c>
    </row>
    <row r="694" spans="1:19" x14ac:dyDescent="0.25">
      <c r="A694" s="22" t="s">
        <v>303</v>
      </c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29">
        <f t="shared" si="28"/>
        <v>0</v>
      </c>
    </row>
    <row r="695" spans="1:19" x14ac:dyDescent="0.25">
      <c r="A695" s="46"/>
      <c r="B695" s="46"/>
      <c r="C695" s="46"/>
      <c r="D695" s="46"/>
      <c r="E695" s="46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29">
        <f t="shared" si="28"/>
        <v>0</v>
      </c>
    </row>
    <row r="696" spans="1:19" x14ac:dyDescent="0.25">
      <c r="A696" s="46"/>
      <c r="B696" s="38" t="s">
        <v>304</v>
      </c>
      <c r="C696" s="46"/>
      <c r="D696" s="46"/>
      <c r="E696" s="46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29">
        <f t="shared" si="28"/>
        <v>0</v>
      </c>
    </row>
    <row r="697" spans="1:19" x14ac:dyDescent="0.25">
      <c r="B697" s="20"/>
      <c r="C697" s="38" t="s">
        <v>29</v>
      </c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29">
        <f t="shared" si="28"/>
        <v>0</v>
      </c>
    </row>
    <row r="698" spans="1:19" x14ac:dyDescent="0.25">
      <c r="C698" s="30" t="s">
        <v>305</v>
      </c>
      <c r="G698" s="35"/>
      <c r="H698" s="33"/>
      <c r="I698" s="57"/>
      <c r="J698" s="33"/>
      <c r="K698" s="57"/>
      <c r="L698" s="33"/>
      <c r="M698" s="57"/>
      <c r="N698" s="33"/>
      <c r="O698" s="57"/>
      <c r="P698" s="33"/>
      <c r="Q698" s="57"/>
      <c r="R698" s="33"/>
      <c r="S698" s="29">
        <f t="shared" si="28"/>
        <v>0</v>
      </c>
    </row>
    <row r="699" spans="1:19" x14ac:dyDescent="0.25">
      <c r="C699" s="38" t="s">
        <v>306</v>
      </c>
      <c r="D699" s="30"/>
      <c r="E699" s="30" t="s">
        <v>307</v>
      </c>
      <c r="F699" s="58">
        <f>SUM(H699:L699)</f>
        <v>1070200.8500000001</v>
      </c>
      <c r="G699" s="7"/>
      <c r="H699" s="36">
        <v>-136.71</v>
      </c>
      <c r="I699" s="57"/>
      <c r="J699" s="36">
        <v>682124.08</v>
      </c>
      <c r="K699" s="57"/>
      <c r="L699" s="36">
        <v>388213.48</v>
      </c>
      <c r="M699" s="57"/>
      <c r="N699" s="36">
        <v>661629.57999999996</v>
      </c>
      <c r="O699" s="57"/>
      <c r="P699" s="36">
        <v>408571.27</v>
      </c>
      <c r="Q699" s="57"/>
      <c r="R699" s="36">
        <v>0</v>
      </c>
      <c r="S699" s="29">
        <f t="shared" si="28"/>
        <v>1.1641532182693481E-10</v>
      </c>
    </row>
    <row r="700" spans="1:19" x14ac:dyDescent="0.25"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29">
        <f t="shared" si="28"/>
        <v>0</v>
      </c>
    </row>
    <row r="701" spans="1:19" x14ac:dyDescent="0.25">
      <c r="E701" s="30" t="s">
        <v>2</v>
      </c>
      <c r="F701" s="58">
        <f>SUM(H701:L701)</f>
        <v>1070200.8500000001</v>
      </c>
      <c r="G701" s="7"/>
      <c r="H701" s="58">
        <f>SUM(H698:H700)</f>
        <v>-136.71</v>
      </c>
      <c r="I701" s="18"/>
      <c r="J701" s="58">
        <f>SUM(J698:J700)</f>
        <v>682124.08</v>
      </c>
      <c r="K701" s="18"/>
      <c r="L701" s="58">
        <f>SUM(L698:L700)</f>
        <v>388213.48</v>
      </c>
      <c r="M701" s="18"/>
      <c r="N701" s="58">
        <f>SUM(N698:N700)</f>
        <v>661629.57999999996</v>
      </c>
      <c r="O701" s="18"/>
      <c r="P701" s="58">
        <f>SUM(P698:P700)</f>
        <v>408571.27</v>
      </c>
      <c r="Q701" s="18"/>
      <c r="R701" s="58">
        <f>SUM(R698:R700)</f>
        <v>0</v>
      </c>
      <c r="S701" s="29">
        <f t="shared" si="28"/>
        <v>1.1641532182693481E-10</v>
      </c>
    </row>
    <row r="702" spans="1:19" x14ac:dyDescent="0.25">
      <c r="A702" s="46"/>
      <c r="B702" s="46"/>
      <c r="C702" s="46"/>
      <c r="D702" s="46"/>
      <c r="E702" s="46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29">
        <f t="shared" ref="S702:S765" si="32">+F702-N702-P702+R702</f>
        <v>0</v>
      </c>
    </row>
    <row r="703" spans="1:19" x14ac:dyDescent="0.25">
      <c r="A703" s="46"/>
      <c r="B703" s="38" t="s">
        <v>308</v>
      </c>
      <c r="C703" s="46"/>
      <c r="D703" s="46"/>
      <c r="E703" s="46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29">
        <f t="shared" si="32"/>
        <v>0</v>
      </c>
    </row>
    <row r="704" spans="1:19" x14ac:dyDescent="0.25">
      <c r="B704" s="20"/>
      <c r="C704" s="38" t="s">
        <v>309</v>
      </c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29">
        <f t="shared" si="32"/>
        <v>0</v>
      </c>
    </row>
    <row r="705" spans="2:19" x14ac:dyDescent="0.25">
      <c r="B705" s="20"/>
      <c r="C705" s="38" t="s">
        <v>310</v>
      </c>
      <c r="F705" s="58">
        <f>SUM(H705:L705)</f>
        <v>1953000</v>
      </c>
      <c r="G705" s="7"/>
      <c r="H705" s="36">
        <v>0</v>
      </c>
      <c r="I705" s="33"/>
      <c r="J705" s="36">
        <v>1934000</v>
      </c>
      <c r="K705" s="33"/>
      <c r="L705" s="36">
        <v>19000</v>
      </c>
      <c r="M705" s="33"/>
      <c r="N705" s="36">
        <v>1264000</v>
      </c>
      <c r="O705" s="33"/>
      <c r="P705" s="36">
        <f>685000-1000</f>
        <v>684000</v>
      </c>
      <c r="Q705" s="33"/>
      <c r="R705" s="36">
        <v>-5000</v>
      </c>
      <c r="S705" s="29">
        <f t="shared" si="32"/>
        <v>0</v>
      </c>
    </row>
    <row r="706" spans="2:19" x14ac:dyDescent="0.25">
      <c r="B706" s="20"/>
      <c r="F706" s="39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29">
        <f t="shared" si="32"/>
        <v>0</v>
      </c>
    </row>
    <row r="707" spans="2:19" x14ac:dyDescent="0.25">
      <c r="C707" s="30" t="s">
        <v>311</v>
      </c>
      <c r="D707" s="30"/>
      <c r="E707" s="34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29">
        <f t="shared" si="32"/>
        <v>0</v>
      </c>
    </row>
    <row r="708" spans="2:19" x14ac:dyDescent="0.25">
      <c r="E708" s="30" t="s">
        <v>312</v>
      </c>
      <c r="F708" s="18">
        <f>SUM(H708:L708)</f>
        <v>350000</v>
      </c>
      <c r="G708" s="35"/>
      <c r="H708" s="33">
        <v>0</v>
      </c>
      <c r="I708" s="57"/>
      <c r="J708" s="33">
        <v>275000</v>
      </c>
      <c r="K708" s="57"/>
      <c r="L708" s="33">
        <v>75000</v>
      </c>
      <c r="M708" s="57"/>
      <c r="N708" s="33">
        <v>212000</v>
      </c>
      <c r="O708" s="57"/>
      <c r="P708" s="33">
        <v>138000</v>
      </c>
      <c r="Q708" s="57"/>
      <c r="R708" s="33">
        <v>0</v>
      </c>
      <c r="S708" s="29">
        <f t="shared" si="32"/>
        <v>0</v>
      </c>
    </row>
    <row r="709" spans="2:19" x14ac:dyDescent="0.25">
      <c r="E709" s="30" t="s">
        <v>313</v>
      </c>
      <c r="F709" s="58">
        <f>SUM(H709:L709)</f>
        <v>965000</v>
      </c>
      <c r="G709" s="7"/>
      <c r="H709" s="36">
        <v>0</v>
      </c>
      <c r="I709" s="33"/>
      <c r="J709" s="36">
        <v>681000</v>
      </c>
      <c r="K709" s="33"/>
      <c r="L709" s="36">
        <v>284000</v>
      </c>
      <c r="M709" s="33"/>
      <c r="N709" s="36">
        <v>421000</v>
      </c>
      <c r="O709" s="33"/>
      <c r="P709" s="36">
        <v>560000</v>
      </c>
      <c r="Q709" s="33"/>
      <c r="R709" s="36">
        <v>16000</v>
      </c>
      <c r="S709" s="29">
        <f t="shared" si="32"/>
        <v>0</v>
      </c>
    </row>
    <row r="710" spans="2:19" x14ac:dyDescent="0.25"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29">
        <f t="shared" si="32"/>
        <v>0</v>
      </c>
    </row>
    <row r="711" spans="2:19" x14ac:dyDescent="0.25">
      <c r="E711" s="30" t="s">
        <v>2</v>
      </c>
      <c r="F711" s="58">
        <f>SUM(H711:L711)</f>
        <v>1315000</v>
      </c>
      <c r="G711" s="7"/>
      <c r="H711" s="58">
        <f>SUM(H708:H710)</f>
        <v>0</v>
      </c>
      <c r="I711" s="18"/>
      <c r="J711" s="58">
        <f>SUM(J708:J710)</f>
        <v>956000</v>
      </c>
      <c r="K711" s="18"/>
      <c r="L711" s="58">
        <f>SUM(L708:L710)</f>
        <v>359000</v>
      </c>
      <c r="M711" s="18"/>
      <c r="N711" s="58">
        <f>SUM(N708:N710)</f>
        <v>633000</v>
      </c>
      <c r="O711" s="18"/>
      <c r="P711" s="58">
        <f>SUM(P708:P710)</f>
        <v>698000</v>
      </c>
      <c r="Q711" s="18"/>
      <c r="R711" s="58">
        <f>SUM(R708:R710)</f>
        <v>16000</v>
      </c>
      <c r="S711" s="29">
        <f t="shared" si="32"/>
        <v>0</v>
      </c>
    </row>
    <row r="712" spans="2:19" x14ac:dyDescent="0.25">
      <c r="B712" s="22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29">
        <f t="shared" si="32"/>
        <v>0</v>
      </c>
    </row>
    <row r="713" spans="2:19" x14ac:dyDescent="0.25">
      <c r="C713" s="30" t="s">
        <v>314</v>
      </c>
      <c r="D713" s="30"/>
      <c r="E713" s="34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29">
        <f t="shared" si="32"/>
        <v>0</v>
      </c>
    </row>
    <row r="714" spans="2:19" x14ac:dyDescent="0.25">
      <c r="E714" s="30" t="s">
        <v>315</v>
      </c>
      <c r="F714" s="18">
        <f>SUM(H714:L714)</f>
        <v>985000</v>
      </c>
      <c r="G714" s="35"/>
      <c r="H714" s="33">
        <v>2000</v>
      </c>
      <c r="I714" s="57"/>
      <c r="J714" s="33">
        <f>30000-1000</f>
        <v>29000</v>
      </c>
      <c r="K714" s="57"/>
      <c r="L714" s="33">
        <v>954000</v>
      </c>
      <c r="M714" s="57"/>
      <c r="N714" s="33">
        <v>609000</v>
      </c>
      <c r="O714" s="57"/>
      <c r="P714" s="33">
        <v>376000</v>
      </c>
      <c r="Q714" s="57"/>
      <c r="R714" s="33">
        <v>0</v>
      </c>
      <c r="S714" s="29">
        <f t="shared" si="32"/>
        <v>0</v>
      </c>
    </row>
    <row r="715" spans="2:19" x14ac:dyDescent="0.25">
      <c r="E715" s="30" t="s">
        <v>316</v>
      </c>
      <c r="G715" s="7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29">
        <f t="shared" si="32"/>
        <v>0</v>
      </c>
    </row>
    <row r="716" spans="2:19" x14ac:dyDescent="0.25">
      <c r="E716" s="30" t="s">
        <v>317</v>
      </c>
      <c r="F716" s="18">
        <f t="shared" ref="F716:F722" si="33">SUM(H716:L716)</f>
        <v>458000</v>
      </c>
      <c r="G716" s="35"/>
      <c r="H716" s="33">
        <f>28000+1000</f>
        <v>29000</v>
      </c>
      <c r="I716" s="57"/>
      <c r="J716" s="33">
        <v>400000</v>
      </c>
      <c r="K716" s="57"/>
      <c r="L716" s="33">
        <v>29000</v>
      </c>
      <c r="M716" s="57"/>
      <c r="N716" s="33">
        <v>203000</v>
      </c>
      <c r="O716" s="57"/>
      <c r="P716" s="33">
        <v>255000</v>
      </c>
      <c r="Q716" s="57"/>
      <c r="R716" s="33">
        <v>0</v>
      </c>
      <c r="S716" s="29">
        <f t="shared" si="32"/>
        <v>0</v>
      </c>
    </row>
    <row r="717" spans="2:19" x14ac:dyDescent="0.25">
      <c r="E717" s="30" t="s">
        <v>318</v>
      </c>
      <c r="F717" s="18">
        <f t="shared" si="33"/>
        <v>4658000</v>
      </c>
      <c r="G717" s="35"/>
      <c r="H717" s="33">
        <v>0</v>
      </c>
      <c r="I717" s="57"/>
      <c r="J717" s="33">
        <v>4523000</v>
      </c>
      <c r="K717" s="57"/>
      <c r="L717" s="33">
        <v>135000</v>
      </c>
      <c r="M717" s="57"/>
      <c r="N717" s="33">
        <v>2640000</v>
      </c>
      <c r="O717" s="57"/>
      <c r="P717" s="33">
        <f>2017000+1000</f>
        <v>2018000</v>
      </c>
      <c r="Q717" s="57"/>
      <c r="R717" s="33">
        <v>0</v>
      </c>
      <c r="S717" s="29">
        <f t="shared" si="32"/>
        <v>0</v>
      </c>
    </row>
    <row r="718" spans="2:19" x14ac:dyDescent="0.25">
      <c r="E718" s="30" t="s">
        <v>319</v>
      </c>
      <c r="F718" s="18">
        <f t="shared" si="33"/>
        <v>315000</v>
      </c>
      <c r="G718" s="35"/>
      <c r="H718" s="33">
        <v>0</v>
      </c>
      <c r="I718" s="57"/>
      <c r="J718" s="33">
        <v>302000</v>
      </c>
      <c r="K718" s="57"/>
      <c r="L718" s="33">
        <v>13000</v>
      </c>
      <c r="M718" s="57"/>
      <c r="N718" s="33">
        <v>227000</v>
      </c>
      <c r="O718" s="57"/>
      <c r="P718" s="33">
        <f>87000+1000</f>
        <v>88000</v>
      </c>
      <c r="Q718" s="57"/>
      <c r="R718" s="33">
        <v>0</v>
      </c>
      <c r="S718" s="29">
        <f t="shared" si="32"/>
        <v>0</v>
      </c>
    </row>
    <row r="719" spans="2:19" x14ac:dyDescent="0.25">
      <c r="E719" s="30" t="s">
        <v>485</v>
      </c>
      <c r="F719" s="18">
        <f t="shared" si="33"/>
        <v>300000</v>
      </c>
      <c r="G719" s="35"/>
      <c r="H719" s="33">
        <v>183000</v>
      </c>
      <c r="I719" s="57"/>
      <c r="J719" s="33">
        <v>117000</v>
      </c>
      <c r="K719" s="57"/>
      <c r="L719" s="33">
        <v>0</v>
      </c>
      <c r="M719" s="57"/>
      <c r="N719" s="33">
        <v>213000</v>
      </c>
      <c r="O719" s="57"/>
      <c r="P719" s="33">
        <f>86000+1000</f>
        <v>87000</v>
      </c>
      <c r="Q719" s="57"/>
      <c r="R719" s="33">
        <v>0</v>
      </c>
      <c r="S719" s="29">
        <f t="shared" si="32"/>
        <v>0</v>
      </c>
    </row>
    <row r="720" spans="2:19" x14ac:dyDescent="0.25">
      <c r="E720" s="30" t="s">
        <v>320</v>
      </c>
      <c r="F720" s="18">
        <f t="shared" si="33"/>
        <v>1619000</v>
      </c>
      <c r="G720" s="35"/>
      <c r="H720" s="33">
        <v>0</v>
      </c>
      <c r="I720" s="57"/>
      <c r="J720" s="33">
        <v>1616000</v>
      </c>
      <c r="K720" s="57"/>
      <c r="L720" s="33">
        <f>2000+1000</f>
        <v>3000</v>
      </c>
      <c r="M720" s="57"/>
      <c r="N720" s="33">
        <v>664000</v>
      </c>
      <c r="O720" s="57"/>
      <c r="P720" s="33">
        <v>955000</v>
      </c>
      <c r="Q720" s="57"/>
      <c r="R720" s="33">
        <v>0</v>
      </c>
      <c r="S720" s="29">
        <f t="shared" si="32"/>
        <v>0</v>
      </c>
    </row>
    <row r="721" spans="1:19" x14ac:dyDescent="0.25">
      <c r="E721" s="30" t="s">
        <v>321</v>
      </c>
      <c r="F721" s="18">
        <f t="shared" si="33"/>
        <v>4668000</v>
      </c>
      <c r="G721" s="35"/>
      <c r="H721" s="33">
        <f>1179000-2000</f>
        <v>1177000</v>
      </c>
      <c r="I721" s="57"/>
      <c r="J721" s="33">
        <f>3439000+2000</f>
        <v>3441000</v>
      </c>
      <c r="K721" s="57"/>
      <c r="L721" s="33">
        <v>50000</v>
      </c>
      <c r="M721" s="57"/>
      <c r="N721" s="33">
        <f>2963000+1000</f>
        <v>2964000</v>
      </c>
      <c r="O721" s="57"/>
      <c r="P721" s="33">
        <f>1705000-1000</f>
        <v>1704000</v>
      </c>
      <c r="Q721" s="57"/>
      <c r="R721" s="33">
        <v>0</v>
      </c>
      <c r="S721" s="29">
        <f t="shared" si="32"/>
        <v>0</v>
      </c>
    </row>
    <row r="722" spans="1:19" x14ac:dyDescent="0.25">
      <c r="E722" s="30" t="s">
        <v>322</v>
      </c>
      <c r="F722" s="58">
        <f t="shared" si="33"/>
        <v>1064000</v>
      </c>
      <c r="G722" s="7"/>
      <c r="H722" s="36">
        <f>23000+1000</f>
        <v>24000</v>
      </c>
      <c r="I722" s="33"/>
      <c r="J722" s="36">
        <v>999000</v>
      </c>
      <c r="K722" s="33"/>
      <c r="L722" s="36">
        <v>41000</v>
      </c>
      <c r="M722" s="33"/>
      <c r="N722" s="36">
        <v>731000</v>
      </c>
      <c r="O722" s="33"/>
      <c r="P722" s="36">
        <v>333000</v>
      </c>
      <c r="Q722" s="33"/>
      <c r="R722" s="36">
        <v>0</v>
      </c>
      <c r="S722" s="29">
        <f t="shared" si="32"/>
        <v>0</v>
      </c>
    </row>
    <row r="723" spans="1:19" x14ac:dyDescent="0.25"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29">
        <f t="shared" si="32"/>
        <v>0</v>
      </c>
    </row>
    <row r="724" spans="1:19" x14ac:dyDescent="0.25">
      <c r="E724" s="30" t="s">
        <v>2</v>
      </c>
      <c r="F724" s="58">
        <f>SUM(H724:L724)</f>
        <v>14067000</v>
      </c>
      <c r="G724" s="7"/>
      <c r="H724" s="58">
        <f>SUM(H714:H723)</f>
        <v>1415000</v>
      </c>
      <c r="I724" s="18"/>
      <c r="J724" s="58">
        <f>SUM(J714:J723)</f>
        <v>11427000</v>
      </c>
      <c r="K724" s="18"/>
      <c r="L724" s="58">
        <f>SUM(L714:L723)</f>
        <v>1225000</v>
      </c>
      <c r="M724" s="18"/>
      <c r="N724" s="58">
        <f>SUM(N714:N723)</f>
        <v>8251000</v>
      </c>
      <c r="O724" s="18"/>
      <c r="P724" s="58">
        <f>SUM(P714:P723)</f>
        <v>5816000</v>
      </c>
      <c r="Q724" s="18"/>
      <c r="R724" s="58">
        <f>SUM(R714:R723)</f>
        <v>0</v>
      </c>
      <c r="S724" s="29">
        <f t="shared" si="32"/>
        <v>0</v>
      </c>
    </row>
    <row r="725" spans="1:19" x14ac:dyDescent="0.25"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29">
        <f t="shared" si="32"/>
        <v>0</v>
      </c>
    </row>
    <row r="726" spans="1:19" x14ac:dyDescent="0.25">
      <c r="C726" s="30" t="s">
        <v>323</v>
      </c>
      <c r="D726" s="30"/>
      <c r="E726" s="34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29">
        <f t="shared" si="32"/>
        <v>0</v>
      </c>
    </row>
    <row r="727" spans="1:19" x14ac:dyDescent="0.25">
      <c r="E727" s="30" t="s">
        <v>324</v>
      </c>
      <c r="F727" s="18">
        <f>SUM(H727:L727)</f>
        <v>105000</v>
      </c>
      <c r="G727" s="35"/>
      <c r="H727" s="33">
        <v>0</v>
      </c>
      <c r="I727" s="57"/>
      <c r="J727" s="33">
        <v>105000</v>
      </c>
      <c r="K727" s="57"/>
      <c r="L727" s="33">
        <v>0</v>
      </c>
      <c r="M727" s="57"/>
      <c r="N727" s="33">
        <v>73000</v>
      </c>
      <c r="O727" s="57"/>
      <c r="P727" s="33">
        <v>32000</v>
      </c>
      <c r="Q727" s="57"/>
      <c r="R727" s="33">
        <v>0</v>
      </c>
      <c r="S727" s="29">
        <f t="shared" si="32"/>
        <v>0</v>
      </c>
    </row>
    <row r="728" spans="1:19" x14ac:dyDescent="0.25">
      <c r="E728" s="30" t="s">
        <v>325</v>
      </c>
      <c r="F728" s="18">
        <f>SUM(H728:L728)</f>
        <v>39963000</v>
      </c>
      <c r="G728" s="35"/>
      <c r="H728" s="33">
        <v>0</v>
      </c>
      <c r="I728" s="57"/>
      <c r="J728" s="33">
        <v>11681000</v>
      </c>
      <c r="K728" s="57"/>
      <c r="L728" s="33">
        <v>28282000</v>
      </c>
      <c r="M728" s="57"/>
      <c r="N728" s="33">
        <f>17506000-1000</f>
        <v>17505000</v>
      </c>
      <c r="O728" s="57"/>
      <c r="P728" s="33">
        <v>22769000</v>
      </c>
      <c r="Q728" s="57"/>
      <c r="R728" s="33">
        <v>311000</v>
      </c>
      <c r="S728" s="29">
        <f t="shared" si="32"/>
        <v>0</v>
      </c>
    </row>
    <row r="729" spans="1:19" x14ac:dyDescent="0.25">
      <c r="E729" s="30" t="s">
        <v>326</v>
      </c>
      <c r="F729" s="58">
        <f>SUM(H729:L729)</f>
        <v>7411000</v>
      </c>
      <c r="G729" s="7"/>
      <c r="H729" s="36">
        <v>46000</v>
      </c>
      <c r="I729" s="33"/>
      <c r="J729" s="36">
        <v>7054000</v>
      </c>
      <c r="K729" s="33"/>
      <c r="L729" s="36">
        <v>311000</v>
      </c>
      <c r="M729" s="33"/>
      <c r="N729" s="36">
        <v>3344000</v>
      </c>
      <c r="O729" s="33"/>
      <c r="P729" s="36">
        <v>4162000</v>
      </c>
      <c r="Q729" s="33"/>
      <c r="R729" s="36">
        <v>95000</v>
      </c>
      <c r="S729" s="29">
        <f t="shared" si="32"/>
        <v>0</v>
      </c>
    </row>
    <row r="730" spans="1:19" x14ac:dyDescent="0.25"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29">
        <f t="shared" si="32"/>
        <v>0</v>
      </c>
    </row>
    <row r="731" spans="1:19" x14ac:dyDescent="0.25">
      <c r="E731" s="30" t="s">
        <v>2</v>
      </c>
      <c r="F731" s="58">
        <f>SUM(H731:L731)</f>
        <v>47479000</v>
      </c>
      <c r="G731" s="7"/>
      <c r="H731" s="58">
        <f>SUM(H727:H730)</f>
        <v>46000</v>
      </c>
      <c r="I731" s="18"/>
      <c r="J731" s="58">
        <f>SUM(J727:J730)</f>
        <v>18840000</v>
      </c>
      <c r="K731" s="18"/>
      <c r="L731" s="58">
        <f>SUM(L727:L730)</f>
        <v>28593000</v>
      </c>
      <c r="M731" s="18"/>
      <c r="N731" s="58">
        <f>SUM(N727:N730)</f>
        <v>20922000</v>
      </c>
      <c r="O731" s="18"/>
      <c r="P731" s="58">
        <f>SUM(P727:P730)</f>
        <v>26963000</v>
      </c>
      <c r="Q731" s="18"/>
      <c r="R731" s="58">
        <f>SUM(R727:R730)</f>
        <v>406000</v>
      </c>
      <c r="S731" s="29">
        <f t="shared" si="32"/>
        <v>0</v>
      </c>
    </row>
    <row r="732" spans="1:19" x14ac:dyDescent="0.25"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29">
        <f t="shared" si="32"/>
        <v>0</v>
      </c>
    </row>
    <row r="733" spans="1:19" x14ac:dyDescent="0.25">
      <c r="E733" s="30" t="s">
        <v>327</v>
      </c>
      <c r="F733" s="58">
        <f>SUM(H733:L733)</f>
        <v>64814000</v>
      </c>
      <c r="G733" s="7"/>
      <c r="H733" s="58">
        <f>+H705+H711+H724+H731</f>
        <v>1461000</v>
      </c>
      <c r="I733" s="18"/>
      <c r="J733" s="58">
        <f>+J705+J711+J724+J731</f>
        <v>33157000</v>
      </c>
      <c r="K733" s="18"/>
      <c r="L733" s="58">
        <f>+L705+L711+L724+L731</f>
        <v>30196000</v>
      </c>
      <c r="M733" s="18"/>
      <c r="N733" s="58">
        <f>+N705+N711+N724+N731</f>
        <v>31070000</v>
      </c>
      <c r="O733" s="18"/>
      <c r="P733" s="58">
        <f>+P705+P711+P724+P731</f>
        <v>34161000</v>
      </c>
      <c r="Q733" s="18"/>
      <c r="R733" s="58">
        <f>+R705+R711+R724+R731</f>
        <v>417000</v>
      </c>
      <c r="S733" s="29">
        <f t="shared" si="32"/>
        <v>0</v>
      </c>
    </row>
    <row r="734" spans="1:19" x14ac:dyDescent="0.25">
      <c r="A734" s="46"/>
      <c r="B734" s="46"/>
      <c r="C734" s="46"/>
      <c r="D734" s="46"/>
      <c r="E734" s="46"/>
      <c r="F734" s="49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29">
        <f t="shared" si="32"/>
        <v>0</v>
      </c>
    </row>
    <row r="735" spans="1:19" x14ac:dyDescent="0.25">
      <c r="A735" s="46"/>
      <c r="B735" s="38" t="s">
        <v>328</v>
      </c>
      <c r="C735" s="46"/>
      <c r="D735" s="46"/>
      <c r="E735" s="46"/>
      <c r="F735" s="49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29">
        <f t="shared" si="32"/>
        <v>0</v>
      </c>
    </row>
    <row r="736" spans="1:19" x14ac:dyDescent="0.25">
      <c r="B736" s="20"/>
      <c r="C736" s="38" t="s">
        <v>329</v>
      </c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29">
        <f t="shared" si="32"/>
        <v>0</v>
      </c>
    </row>
    <row r="737" spans="1:19" x14ac:dyDescent="0.25">
      <c r="B737" s="30"/>
      <c r="C737" s="30" t="s">
        <v>330</v>
      </c>
      <c r="D737" s="29"/>
      <c r="E737" s="34"/>
      <c r="F737" s="18">
        <f>SUM(H737:L737)</f>
        <v>2089000</v>
      </c>
      <c r="G737" s="35"/>
      <c r="H737" s="33">
        <v>295000</v>
      </c>
      <c r="I737" s="57"/>
      <c r="J737" s="33">
        <v>1625000</v>
      </c>
      <c r="K737" s="57"/>
      <c r="L737" s="33">
        <v>169000</v>
      </c>
      <c r="M737" s="57"/>
      <c r="N737" s="33">
        <v>1325000</v>
      </c>
      <c r="O737" s="57"/>
      <c r="P737" s="33">
        <v>764000</v>
      </c>
      <c r="Q737" s="57"/>
      <c r="R737" s="33">
        <v>0</v>
      </c>
      <c r="S737" s="29">
        <f t="shared" si="32"/>
        <v>0</v>
      </c>
    </row>
    <row r="738" spans="1:19" x14ac:dyDescent="0.25">
      <c r="C738" s="30" t="s">
        <v>331</v>
      </c>
      <c r="D738" s="30"/>
      <c r="E738" s="34"/>
      <c r="F738" s="18">
        <f>SUM(H738:L738)</f>
        <v>453000</v>
      </c>
      <c r="G738" s="35"/>
      <c r="H738" s="33">
        <v>0</v>
      </c>
      <c r="I738" s="57"/>
      <c r="J738" s="33">
        <v>4000</v>
      </c>
      <c r="K738" s="57"/>
      <c r="L738" s="33">
        <v>449000</v>
      </c>
      <c r="M738" s="57"/>
      <c r="N738" s="33">
        <v>129000</v>
      </c>
      <c r="O738" s="57"/>
      <c r="P738" s="33">
        <v>324000</v>
      </c>
      <c r="Q738" s="57"/>
      <c r="R738" s="33">
        <v>0</v>
      </c>
      <c r="S738" s="29">
        <f t="shared" si="32"/>
        <v>0</v>
      </c>
    </row>
    <row r="739" spans="1:19" x14ac:dyDescent="0.25">
      <c r="C739" s="30" t="s">
        <v>483</v>
      </c>
      <c r="D739" s="30"/>
      <c r="E739" s="34"/>
      <c r="F739" s="18">
        <f>SUM(H739:L739)</f>
        <v>823000</v>
      </c>
      <c r="G739" s="35"/>
      <c r="H739" s="33">
        <v>285000</v>
      </c>
      <c r="I739" s="57"/>
      <c r="J739" s="33">
        <v>236000</v>
      </c>
      <c r="K739" s="57"/>
      <c r="L739" s="33">
        <v>302000</v>
      </c>
      <c r="M739" s="57"/>
      <c r="N739" s="33">
        <v>481000</v>
      </c>
      <c r="O739" s="57"/>
      <c r="P739" s="33">
        <f>343000-1000</f>
        <v>342000</v>
      </c>
      <c r="Q739" s="57"/>
      <c r="R739" s="33">
        <v>0</v>
      </c>
      <c r="S739" s="29">
        <f t="shared" si="32"/>
        <v>0</v>
      </c>
    </row>
    <row r="740" spans="1:19" x14ac:dyDescent="0.25">
      <c r="C740" s="30" t="s">
        <v>332</v>
      </c>
      <c r="D740" s="30"/>
      <c r="E740" s="34"/>
      <c r="F740" s="58">
        <f>SUM(H740:L740)</f>
        <v>2921000</v>
      </c>
      <c r="G740" s="7"/>
      <c r="H740" s="36">
        <v>1344000</v>
      </c>
      <c r="I740" s="33"/>
      <c r="J740" s="36">
        <v>1498000</v>
      </c>
      <c r="K740" s="33"/>
      <c r="L740" s="36">
        <v>79000</v>
      </c>
      <c r="M740" s="33"/>
      <c r="N740" s="36">
        <f>2061000-1000</f>
        <v>2060000</v>
      </c>
      <c r="O740" s="33"/>
      <c r="P740" s="36">
        <f>859000+2000</f>
        <v>861000</v>
      </c>
      <c r="Q740" s="33"/>
      <c r="R740" s="36">
        <v>0</v>
      </c>
      <c r="S740" s="29">
        <f t="shared" si="32"/>
        <v>0</v>
      </c>
    </row>
    <row r="741" spans="1:19" x14ac:dyDescent="0.25"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29">
        <f t="shared" si="32"/>
        <v>0</v>
      </c>
    </row>
    <row r="742" spans="1:19" x14ac:dyDescent="0.25">
      <c r="E742" s="30" t="s">
        <v>2</v>
      </c>
      <c r="F742" s="58">
        <f>SUM(H742:L742)</f>
        <v>6286000</v>
      </c>
      <c r="G742" s="7"/>
      <c r="H742" s="58">
        <f>SUM(H737:H741)</f>
        <v>1924000</v>
      </c>
      <c r="I742" s="18"/>
      <c r="J742" s="58">
        <f>SUM(J737:J741)</f>
        <v>3363000</v>
      </c>
      <c r="K742" s="18"/>
      <c r="L742" s="58">
        <f>SUM(L737:L741)</f>
        <v>999000</v>
      </c>
      <c r="M742" s="18"/>
      <c r="N742" s="58">
        <f>SUM(N737:N741)</f>
        <v>3995000</v>
      </c>
      <c r="O742" s="18"/>
      <c r="P742" s="58">
        <f>SUM(P737:P741)</f>
        <v>2291000</v>
      </c>
      <c r="Q742" s="18"/>
      <c r="R742" s="58">
        <f>SUM(R737:R741)</f>
        <v>0</v>
      </c>
      <c r="S742" s="29">
        <f t="shared" si="32"/>
        <v>0</v>
      </c>
    </row>
    <row r="743" spans="1:19" x14ac:dyDescent="0.25">
      <c r="A743" s="46"/>
      <c r="B743" s="46"/>
      <c r="C743" s="46"/>
      <c r="D743" s="46"/>
      <c r="E743" s="46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29">
        <f t="shared" si="32"/>
        <v>0</v>
      </c>
    </row>
    <row r="744" spans="1:19" x14ac:dyDescent="0.25">
      <c r="A744" s="46"/>
      <c r="B744" s="38" t="s">
        <v>333</v>
      </c>
      <c r="C744" s="46"/>
      <c r="D744" s="46"/>
      <c r="E744" s="46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29">
        <f t="shared" si="32"/>
        <v>0</v>
      </c>
    </row>
    <row r="745" spans="1:19" x14ac:dyDescent="0.25">
      <c r="B745" s="20"/>
      <c r="C745" s="38" t="s">
        <v>334</v>
      </c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29">
        <f t="shared" si="32"/>
        <v>0</v>
      </c>
    </row>
    <row r="746" spans="1:19" x14ac:dyDescent="0.25">
      <c r="C746" s="38" t="s">
        <v>335</v>
      </c>
      <c r="F746" s="18">
        <f>SUM(H746:L746)</f>
        <v>3490000</v>
      </c>
      <c r="G746" s="35"/>
      <c r="H746" s="33">
        <v>0</v>
      </c>
      <c r="I746" s="57"/>
      <c r="J746" s="33">
        <v>3061000</v>
      </c>
      <c r="K746" s="57"/>
      <c r="L746" s="33">
        <v>429000</v>
      </c>
      <c r="M746" s="57"/>
      <c r="N746" s="33">
        <v>2201000</v>
      </c>
      <c r="O746" s="57"/>
      <c r="P746" s="33">
        <v>1289000</v>
      </c>
      <c r="Q746" s="57"/>
      <c r="R746" s="33">
        <v>0</v>
      </c>
      <c r="S746" s="29">
        <f t="shared" si="32"/>
        <v>0</v>
      </c>
    </row>
    <row r="747" spans="1:19" x14ac:dyDescent="0.25">
      <c r="C747" s="30" t="s">
        <v>336</v>
      </c>
      <c r="F747" s="18">
        <f>SUM(H747:L747)</f>
        <v>3042000</v>
      </c>
      <c r="G747" s="35"/>
      <c r="H747" s="33">
        <v>1512000</v>
      </c>
      <c r="I747" s="57"/>
      <c r="J747" s="33">
        <v>800000</v>
      </c>
      <c r="K747" s="57"/>
      <c r="L747" s="33">
        <v>730000</v>
      </c>
      <c r="M747" s="57"/>
      <c r="N747" s="33">
        <v>2072000</v>
      </c>
      <c r="O747" s="57"/>
      <c r="P747" s="33">
        <v>970000</v>
      </c>
      <c r="Q747" s="57"/>
      <c r="R747" s="33">
        <v>0</v>
      </c>
      <c r="S747" s="29">
        <f t="shared" si="32"/>
        <v>0</v>
      </c>
    </row>
    <row r="748" spans="1:19" x14ac:dyDescent="0.25">
      <c r="C748" s="30" t="s">
        <v>337</v>
      </c>
      <c r="G748" s="7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29">
        <f t="shared" si="32"/>
        <v>0</v>
      </c>
    </row>
    <row r="749" spans="1:19" x14ac:dyDescent="0.25">
      <c r="C749" s="30"/>
      <c r="E749" s="30" t="s">
        <v>338</v>
      </c>
      <c r="F749" s="58">
        <f>SUM(H749:L749)</f>
        <v>909000</v>
      </c>
      <c r="G749" s="7"/>
      <c r="H749" s="36">
        <v>19000</v>
      </c>
      <c r="I749" s="33"/>
      <c r="J749" s="36">
        <v>888000</v>
      </c>
      <c r="K749" s="33"/>
      <c r="L749" s="36">
        <f>3000-1000</f>
        <v>2000</v>
      </c>
      <c r="M749" s="33"/>
      <c r="N749" s="36">
        <v>1510000</v>
      </c>
      <c r="O749" s="33"/>
      <c r="P749" s="36">
        <v>967000</v>
      </c>
      <c r="Q749" s="33"/>
      <c r="R749" s="36">
        <v>1568000</v>
      </c>
      <c r="S749" s="29">
        <f t="shared" si="32"/>
        <v>0</v>
      </c>
    </row>
    <row r="750" spans="1:19" x14ac:dyDescent="0.25"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29">
        <f t="shared" si="32"/>
        <v>0</v>
      </c>
    </row>
    <row r="751" spans="1:19" x14ac:dyDescent="0.25">
      <c r="E751" s="30" t="s">
        <v>2</v>
      </c>
      <c r="F751" s="58">
        <f>SUM(H751:L751)</f>
        <v>7441000</v>
      </c>
      <c r="G751" s="7"/>
      <c r="H751" s="58">
        <f>SUM(H745:H750)</f>
        <v>1531000</v>
      </c>
      <c r="I751" s="18"/>
      <c r="J751" s="58">
        <f>SUM(J745:J750)</f>
        <v>4749000</v>
      </c>
      <c r="K751" s="18"/>
      <c r="L751" s="58">
        <f>SUM(L745:L750)</f>
        <v>1161000</v>
      </c>
      <c r="M751" s="18"/>
      <c r="N751" s="58">
        <f>SUM(N745:N750)</f>
        <v>5783000</v>
      </c>
      <c r="O751" s="18"/>
      <c r="P751" s="58">
        <f>SUM(P745:P750)</f>
        <v>3226000</v>
      </c>
      <c r="Q751" s="18"/>
      <c r="R751" s="58">
        <f>SUM(R745:R750)</f>
        <v>1568000</v>
      </c>
      <c r="S751" s="29">
        <f t="shared" si="32"/>
        <v>0</v>
      </c>
    </row>
    <row r="752" spans="1:19" x14ac:dyDescent="0.25">
      <c r="A752" s="46"/>
      <c r="B752" s="46"/>
      <c r="C752" s="46"/>
      <c r="D752" s="46"/>
      <c r="E752" s="46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29">
        <f t="shared" si="32"/>
        <v>0</v>
      </c>
    </row>
    <row r="753" spans="1:19" ht="20.25" customHeight="1" x14ac:dyDescent="0.25">
      <c r="B753" s="38" t="s">
        <v>339</v>
      </c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29">
        <f t="shared" si="32"/>
        <v>0</v>
      </c>
    </row>
    <row r="754" spans="1:19" x14ac:dyDescent="0.25">
      <c r="C754" s="30" t="s">
        <v>340</v>
      </c>
      <c r="D754" s="30"/>
      <c r="E754" s="34"/>
      <c r="F754" s="18">
        <f>SUM(H754:L754)</f>
        <v>4474000</v>
      </c>
      <c r="G754" s="35"/>
      <c r="H754" s="33">
        <v>4347000</v>
      </c>
      <c r="I754" s="57"/>
      <c r="J754" s="33">
        <v>-77000</v>
      </c>
      <c r="K754" s="57"/>
      <c r="L754" s="33">
        <v>204000</v>
      </c>
      <c r="M754" s="57"/>
      <c r="N754" s="33">
        <v>3623000</v>
      </c>
      <c r="O754" s="57"/>
      <c r="P754" s="33">
        <f>850000+1000</f>
        <v>851000</v>
      </c>
      <c r="Q754" s="57"/>
      <c r="R754" s="33">
        <v>0</v>
      </c>
      <c r="S754" s="29">
        <f t="shared" si="32"/>
        <v>0</v>
      </c>
    </row>
    <row r="755" spans="1:19" x14ac:dyDescent="0.25">
      <c r="C755" s="30" t="s">
        <v>341</v>
      </c>
      <c r="D755" s="30"/>
      <c r="E755" s="34"/>
      <c r="F755" s="58">
        <f>SUM(H755:L755)</f>
        <v>138000</v>
      </c>
      <c r="G755" s="7"/>
      <c r="H755" s="36">
        <v>75000</v>
      </c>
      <c r="I755" s="33"/>
      <c r="J755" s="36">
        <v>26000</v>
      </c>
      <c r="K755" s="33"/>
      <c r="L755" s="36">
        <v>37000</v>
      </c>
      <c r="M755" s="33"/>
      <c r="N755" s="36">
        <v>24000</v>
      </c>
      <c r="O755" s="33"/>
      <c r="P755" s="36">
        <v>114000</v>
      </c>
      <c r="Q755" s="33"/>
      <c r="R755" s="36">
        <v>0</v>
      </c>
      <c r="S755" s="29">
        <f t="shared" si="32"/>
        <v>0</v>
      </c>
    </row>
    <row r="756" spans="1:19" x14ac:dyDescent="0.25"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29">
        <f t="shared" si="32"/>
        <v>0</v>
      </c>
    </row>
    <row r="757" spans="1:19" x14ac:dyDescent="0.25">
      <c r="E757" s="30" t="s">
        <v>2</v>
      </c>
      <c r="F757" s="58">
        <f>SUM(H757:L757)</f>
        <v>4612000</v>
      </c>
      <c r="G757" s="7"/>
      <c r="H757" s="58">
        <f>SUM(H754:H756)</f>
        <v>4422000</v>
      </c>
      <c r="I757" s="18"/>
      <c r="J757" s="58">
        <f>SUM(J754:J756)</f>
        <v>-51000</v>
      </c>
      <c r="K757" s="18"/>
      <c r="L757" s="58">
        <f>SUM(L754:L756)</f>
        <v>241000</v>
      </c>
      <c r="M757" s="18"/>
      <c r="N757" s="58">
        <f>SUM(N754:N756)</f>
        <v>3647000</v>
      </c>
      <c r="O757" s="18"/>
      <c r="P757" s="58">
        <f>SUM(P754:P756)</f>
        <v>965000</v>
      </c>
      <c r="Q757" s="18"/>
      <c r="R757" s="58">
        <f>SUM(R754:R756)</f>
        <v>0</v>
      </c>
      <c r="S757" s="29">
        <f t="shared" si="32"/>
        <v>0</v>
      </c>
    </row>
    <row r="758" spans="1:19" x14ac:dyDescent="0.25">
      <c r="A758" s="46"/>
      <c r="B758" s="46"/>
      <c r="C758" s="46"/>
      <c r="D758" s="46"/>
      <c r="E758" s="46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29">
        <f t="shared" si="32"/>
        <v>0</v>
      </c>
    </row>
    <row r="759" spans="1:19" x14ac:dyDescent="0.25">
      <c r="A759" s="46"/>
      <c r="B759" s="38" t="s">
        <v>342</v>
      </c>
      <c r="E759" s="46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29">
        <f t="shared" si="32"/>
        <v>0</v>
      </c>
    </row>
    <row r="760" spans="1:19" x14ac:dyDescent="0.25">
      <c r="A760" s="46"/>
      <c r="C760" s="20" t="s">
        <v>343</v>
      </c>
      <c r="E760" s="46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29">
        <f t="shared" si="32"/>
        <v>0</v>
      </c>
    </row>
    <row r="761" spans="1:19" x14ac:dyDescent="0.25">
      <c r="A761" s="46"/>
      <c r="C761" s="38" t="s">
        <v>344</v>
      </c>
      <c r="E761" s="46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29">
        <f t="shared" si="32"/>
        <v>0</v>
      </c>
    </row>
    <row r="762" spans="1:19" x14ac:dyDescent="0.25">
      <c r="A762" s="46"/>
      <c r="E762" s="46" t="s">
        <v>345</v>
      </c>
      <c r="F762" s="18">
        <f>SUM(H762:L762)</f>
        <v>609000</v>
      </c>
      <c r="G762" s="35"/>
      <c r="H762" s="33">
        <v>598000</v>
      </c>
      <c r="I762" s="57"/>
      <c r="J762" s="33">
        <v>11000</v>
      </c>
      <c r="K762" s="57"/>
      <c r="L762" s="33">
        <v>0</v>
      </c>
      <c r="M762" s="57"/>
      <c r="N762" s="33">
        <v>396000</v>
      </c>
      <c r="O762" s="57"/>
      <c r="P762" s="33">
        <v>213000</v>
      </c>
      <c r="Q762" s="57"/>
      <c r="R762" s="33">
        <v>0</v>
      </c>
      <c r="S762" s="29">
        <f t="shared" si="32"/>
        <v>0</v>
      </c>
    </row>
    <row r="763" spans="1:19" x14ac:dyDescent="0.25">
      <c r="A763" s="46"/>
      <c r="C763" s="38" t="s">
        <v>346</v>
      </c>
      <c r="E763" s="46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29">
        <f t="shared" si="32"/>
        <v>0</v>
      </c>
    </row>
    <row r="764" spans="1:19" x14ac:dyDescent="0.25">
      <c r="A764" s="46"/>
      <c r="E764" s="46" t="s">
        <v>347</v>
      </c>
      <c r="F764" s="18">
        <f>SUM(H764:L764)</f>
        <v>3608000</v>
      </c>
      <c r="G764" s="35"/>
      <c r="H764" s="33">
        <v>3551000</v>
      </c>
      <c r="I764" s="57"/>
      <c r="J764" s="33">
        <v>49000</v>
      </c>
      <c r="K764" s="57"/>
      <c r="L764" s="33">
        <v>8000</v>
      </c>
      <c r="M764" s="57"/>
      <c r="N764" s="33">
        <v>2359000</v>
      </c>
      <c r="O764" s="57"/>
      <c r="P764" s="33">
        <v>1249000</v>
      </c>
      <c r="Q764" s="57"/>
      <c r="R764" s="33">
        <v>0</v>
      </c>
      <c r="S764" s="29">
        <f t="shared" si="32"/>
        <v>0</v>
      </c>
    </row>
    <row r="765" spans="1:19" x14ac:dyDescent="0.25">
      <c r="A765" s="46"/>
      <c r="C765" s="38" t="s">
        <v>348</v>
      </c>
      <c r="E765" s="46"/>
      <c r="F765" s="58">
        <f>SUM(H765:L765)</f>
        <v>3691000</v>
      </c>
      <c r="G765" s="7"/>
      <c r="H765" s="36">
        <v>1675000</v>
      </c>
      <c r="I765" s="33"/>
      <c r="J765" s="36">
        <v>1979000</v>
      </c>
      <c r="K765" s="33"/>
      <c r="L765" s="36">
        <v>37000</v>
      </c>
      <c r="M765" s="33"/>
      <c r="N765" s="36">
        <v>2237000</v>
      </c>
      <c r="O765" s="33"/>
      <c r="P765" s="36">
        <v>1454000</v>
      </c>
      <c r="Q765" s="33"/>
      <c r="R765" s="36">
        <v>0</v>
      </c>
      <c r="S765" s="29">
        <f t="shared" si="32"/>
        <v>0</v>
      </c>
    </row>
    <row r="766" spans="1:19" x14ac:dyDescent="0.25">
      <c r="A766" s="46"/>
      <c r="E766" s="46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7"/>
      <c r="R766" s="33"/>
      <c r="S766" s="29">
        <f t="shared" ref="S766:S828" si="34">+F766-N766-P766+R766</f>
        <v>0</v>
      </c>
    </row>
    <row r="767" spans="1:19" x14ac:dyDescent="0.25">
      <c r="B767" s="20"/>
      <c r="C767" s="29"/>
      <c r="D767" s="20"/>
      <c r="E767" s="30" t="s">
        <v>2</v>
      </c>
      <c r="F767" s="58">
        <f>SUM(H767:L767)</f>
        <v>7908000</v>
      </c>
      <c r="G767" s="7"/>
      <c r="H767" s="36">
        <f>SUM(H762:H765)</f>
        <v>5824000</v>
      </c>
      <c r="I767" s="33"/>
      <c r="J767" s="36">
        <f>SUM(J762:J765)</f>
        <v>2039000</v>
      </c>
      <c r="K767" s="33"/>
      <c r="L767" s="36">
        <f>SUM(L762:L765)</f>
        <v>45000</v>
      </c>
      <c r="M767" s="33"/>
      <c r="N767" s="36">
        <f>SUM(N762:N765)</f>
        <v>4992000</v>
      </c>
      <c r="O767" s="33"/>
      <c r="P767" s="36">
        <f>SUM(P762:P765)</f>
        <v>2916000</v>
      </c>
      <c r="Q767" s="45"/>
      <c r="R767" s="36">
        <f>SUM(R762:R765)</f>
        <v>0</v>
      </c>
      <c r="S767" s="29">
        <f t="shared" si="34"/>
        <v>0</v>
      </c>
    </row>
    <row r="768" spans="1:19" x14ac:dyDescent="0.25"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29">
        <f t="shared" si="34"/>
        <v>0</v>
      </c>
    </row>
    <row r="769" spans="1:19" x14ac:dyDescent="0.25">
      <c r="B769" s="38" t="s">
        <v>349</v>
      </c>
      <c r="F769" s="58">
        <f>SUM(H769:L769)</f>
        <v>69703000</v>
      </c>
      <c r="G769" s="7"/>
      <c r="H769" s="36">
        <v>0</v>
      </c>
      <c r="I769" s="33"/>
      <c r="J769" s="36">
        <v>69159000</v>
      </c>
      <c r="K769" s="33"/>
      <c r="L769" s="36">
        <v>544000</v>
      </c>
      <c r="M769" s="33"/>
      <c r="N769" s="36">
        <v>16850000</v>
      </c>
      <c r="O769" s="33"/>
      <c r="P769" s="36">
        <v>62289000</v>
      </c>
      <c r="Q769" s="33"/>
      <c r="R769" s="36">
        <f>9437000-1000</f>
        <v>9436000</v>
      </c>
      <c r="S769" s="29">
        <f t="shared" si="34"/>
        <v>0</v>
      </c>
    </row>
    <row r="770" spans="1:19" x14ac:dyDescent="0.25">
      <c r="A770" s="46"/>
      <c r="B770" s="46"/>
      <c r="C770" s="46"/>
      <c r="D770" s="46"/>
      <c r="E770" s="46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29">
        <f t="shared" si="34"/>
        <v>0</v>
      </c>
    </row>
    <row r="771" spans="1:19" x14ac:dyDescent="0.25">
      <c r="A771" s="46"/>
      <c r="B771" s="46" t="s">
        <v>350</v>
      </c>
      <c r="C771" s="46"/>
      <c r="D771" s="46"/>
      <c r="E771" s="46"/>
      <c r="F771" s="58">
        <f>SUM(H771:L771)</f>
        <v>17239000</v>
      </c>
      <c r="G771" s="7"/>
      <c r="H771" s="36">
        <v>1265000</v>
      </c>
      <c r="I771" s="33"/>
      <c r="J771" s="36">
        <v>15115000</v>
      </c>
      <c r="K771" s="33"/>
      <c r="L771" s="36">
        <v>859000</v>
      </c>
      <c r="M771" s="33"/>
      <c r="N771" s="36">
        <v>12502000</v>
      </c>
      <c r="O771" s="33"/>
      <c r="P771" s="36">
        <v>4786000</v>
      </c>
      <c r="Q771" s="33"/>
      <c r="R771" s="36">
        <v>49000</v>
      </c>
      <c r="S771" s="29">
        <f t="shared" si="34"/>
        <v>0</v>
      </c>
    </row>
    <row r="772" spans="1:19" x14ac:dyDescent="0.25">
      <c r="A772" s="46"/>
      <c r="B772" s="46"/>
      <c r="C772" s="46"/>
      <c r="D772" s="46"/>
      <c r="E772" s="46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29">
        <f t="shared" si="34"/>
        <v>0</v>
      </c>
    </row>
    <row r="773" spans="1:19" x14ac:dyDescent="0.25">
      <c r="A773" s="46"/>
      <c r="B773" s="38" t="s">
        <v>351</v>
      </c>
      <c r="C773" s="46"/>
      <c r="D773" s="46"/>
      <c r="E773" s="46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29">
        <f t="shared" si="34"/>
        <v>0</v>
      </c>
    </row>
    <row r="774" spans="1:19" x14ac:dyDescent="0.25">
      <c r="B774" s="20"/>
      <c r="C774" s="38" t="s">
        <v>352</v>
      </c>
      <c r="F774" s="58">
        <f>SUM(H774:L774)</f>
        <v>-415000</v>
      </c>
      <c r="G774" s="7"/>
      <c r="H774" s="36">
        <f>813000-3000</f>
        <v>810000</v>
      </c>
      <c r="I774" s="33"/>
      <c r="J774" s="36">
        <f>-1182000-1000</f>
        <v>-1183000</v>
      </c>
      <c r="K774" s="33"/>
      <c r="L774" s="36">
        <f>-47000+1000+1000+3000</f>
        <v>-42000</v>
      </c>
      <c r="M774" s="33"/>
      <c r="N774" s="36">
        <f>-393000+1000+1000</f>
        <v>-391000</v>
      </c>
      <c r="O774" s="33"/>
      <c r="P774" s="36">
        <f>-23000-1000</f>
        <v>-24000</v>
      </c>
      <c r="Q774" s="33"/>
      <c r="R774" s="36">
        <v>0</v>
      </c>
      <c r="S774" s="29">
        <f t="shared" si="34"/>
        <v>0</v>
      </c>
    </row>
    <row r="775" spans="1:19" x14ac:dyDescent="0.25">
      <c r="A775" s="46"/>
      <c r="B775" s="46"/>
      <c r="C775" s="46"/>
      <c r="D775" s="46"/>
      <c r="E775" s="46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29">
        <f t="shared" si="34"/>
        <v>0</v>
      </c>
    </row>
    <row r="776" spans="1:19" x14ac:dyDescent="0.25">
      <c r="A776" s="46"/>
      <c r="B776" s="38" t="s">
        <v>353</v>
      </c>
      <c r="C776" s="46"/>
      <c r="D776" s="46"/>
      <c r="E776" s="46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29">
        <f t="shared" si="34"/>
        <v>0</v>
      </c>
    </row>
    <row r="777" spans="1:19" x14ac:dyDescent="0.25">
      <c r="B777" s="20"/>
      <c r="C777" s="38" t="s">
        <v>354</v>
      </c>
      <c r="F777" s="58">
        <f>SUM(H777:L777)</f>
        <v>0</v>
      </c>
      <c r="G777" s="7"/>
      <c r="H777" s="36">
        <v>-16424000</v>
      </c>
      <c r="I777" s="33"/>
      <c r="J777" s="36">
        <v>16424000</v>
      </c>
      <c r="K777" s="33"/>
      <c r="L777" s="36">
        <v>0</v>
      </c>
      <c r="M777" s="33"/>
      <c r="N777" s="36">
        <v>0</v>
      </c>
      <c r="O777" s="33"/>
      <c r="P777" s="36">
        <v>0</v>
      </c>
      <c r="Q777" s="33"/>
      <c r="R777" s="36">
        <v>0</v>
      </c>
      <c r="S777" s="29">
        <f t="shared" si="34"/>
        <v>0</v>
      </c>
    </row>
    <row r="778" spans="1:19" x14ac:dyDescent="0.25">
      <c r="B778" s="20"/>
      <c r="G778" s="7"/>
      <c r="H778" s="33"/>
      <c r="I778" s="33"/>
      <c r="J778" s="33"/>
      <c r="K778" s="33"/>
      <c r="L778" s="33"/>
      <c r="M778" s="33"/>
      <c r="N778" s="33"/>
      <c r="O778" s="33"/>
      <c r="P778" s="33"/>
      <c r="Q778" s="45"/>
      <c r="R778" s="33"/>
      <c r="S778" s="29">
        <f t="shared" si="34"/>
        <v>0</v>
      </c>
    </row>
    <row r="779" spans="1:19" x14ac:dyDescent="0.25">
      <c r="E779" s="30" t="s">
        <v>355</v>
      </c>
      <c r="F779" s="58">
        <f>SUM(H779:L779)</f>
        <v>178658200.84999996</v>
      </c>
      <c r="G779" s="7"/>
      <c r="H779" s="58">
        <f>+H701+H733+H742+H751+H757+H767+H769+H774+H777+H771</f>
        <v>812863.28999999911</v>
      </c>
      <c r="I779" s="18"/>
      <c r="J779" s="58">
        <f>+J701+J733+J742+J751+J757+J767+J769+J774+J777+J771</f>
        <v>143454124.07999998</v>
      </c>
      <c r="K779" s="18"/>
      <c r="L779" s="58">
        <f>+L701+L733+L742+L751+L757+L767+L769+L774+L777+L771</f>
        <v>34391213.480000004</v>
      </c>
      <c r="M779" s="18"/>
      <c r="N779" s="58">
        <f>+N701+N733+N742+N751+N757+N767+N769+N774+N777+N771</f>
        <v>79109629.579999998</v>
      </c>
      <c r="O779" s="18"/>
      <c r="P779" s="58">
        <f>+P701+P733+P742+P751+P757+P767+P769+P774+P777+P771</f>
        <v>111018571.27000001</v>
      </c>
      <c r="Q779" s="18"/>
      <c r="R779" s="58">
        <f>+R701+R733+R742+R751+R757+R767+R769+R774+R777+R771</f>
        <v>11470000</v>
      </c>
      <c r="S779" s="29">
        <f t="shared" si="34"/>
        <v>-4.4703483581542969E-8</v>
      </c>
    </row>
    <row r="780" spans="1:19" x14ac:dyDescent="0.25">
      <c r="G780" s="7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29">
        <f t="shared" si="34"/>
        <v>0</v>
      </c>
    </row>
    <row r="781" spans="1:19" x14ac:dyDescent="0.25">
      <c r="A781" s="22" t="s">
        <v>356</v>
      </c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29">
        <f t="shared" si="34"/>
        <v>0</v>
      </c>
    </row>
    <row r="782" spans="1:19" x14ac:dyDescent="0.25">
      <c r="A782" s="46"/>
      <c r="B782" s="46"/>
      <c r="C782" s="46"/>
      <c r="D782" s="46"/>
      <c r="E782" s="46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29">
        <f t="shared" si="34"/>
        <v>0</v>
      </c>
    </row>
    <row r="783" spans="1:19" x14ac:dyDescent="0.25">
      <c r="B783" s="38" t="s">
        <v>357</v>
      </c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29">
        <f t="shared" si="34"/>
        <v>0</v>
      </c>
    </row>
    <row r="784" spans="1:19" x14ac:dyDescent="0.25">
      <c r="C784" s="38" t="s">
        <v>358</v>
      </c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29">
        <f t="shared" si="34"/>
        <v>0</v>
      </c>
    </row>
    <row r="785" spans="5:19" x14ac:dyDescent="0.25">
      <c r="E785" s="30" t="s">
        <v>359</v>
      </c>
      <c r="F785" s="18">
        <f>SUM(H785:L785)</f>
        <v>1401000</v>
      </c>
      <c r="G785" s="35"/>
      <c r="H785" s="33">
        <v>1111000</v>
      </c>
      <c r="I785" s="57"/>
      <c r="J785" s="33">
        <v>289000</v>
      </c>
      <c r="K785" s="57"/>
      <c r="L785" s="33">
        <v>1000</v>
      </c>
      <c r="M785" s="57"/>
      <c r="N785" s="33">
        <v>783000</v>
      </c>
      <c r="O785" s="57"/>
      <c r="P785" s="33">
        <v>618000</v>
      </c>
      <c r="Q785" s="57"/>
      <c r="R785" s="33">
        <v>0</v>
      </c>
      <c r="S785" s="29">
        <f t="shared" si="34"/>
        <v>0</v>
      </c>
    </row>
    <row r="786" spans="5:19" x14ac:dyDescent="0.25">
      <c r="E786" s="30" t="s">
        <v>360</v>
      </c>
      <c r="G786" s="7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29">
        <f t="shared" si="34"/>
        <v>0</v>
      </c>
    </row>
    <row r="787" spans="5:19" x14ac:dyDescent="0.25">
      <c r="E787" s="30" t="s">
        <v>361</v>
      </c>
      <c r="F787" s="18">
        <f>SUM(H787:L787)</f>
        <v>1000000</v>
      </c>
      <c r="G787" s="35"/>
      <c r="H787" s="33">
        <v>0</v>
      </c>
      <c r="I787" s="57"/>
      <c r="J787" s="33">
        <v>1000000</v>
      </c>
      <c r="K787" s="57"/>
      <c r="L787" s="33">
        <v>0</v>
      </c>
      <c r="M787" s="57"/>
      <c r="N787" s="33">
        <v>712000</v>
      </c>
      <c r="O787" s="57"/>
      <c r="P787" s="33">
        <v>288000</v>
      </c>
      <c r="Q787" s="57"/>
      <c r="R787" s="33">
        <v>0</v>
      </c>
      <c r="S787" s="29">
        <f t="shared" si="34"/>
        <v>0</v>
      </c>
    </row>
    <row r="788" spans="5:19" x14ac:dyDescent="0.25">
      <c r="E788" s="30" t="s">
        <v>362</v>
      </c>
      <c r="G788" s="7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29">
        <f t="shared" si="34"/>
        <v>0</v>
      </c>
    </row>
    <row r="789" spans="5:19" x14ac:dyDescent="0.25">
      <c r="E789" s="30" t="s">
        <v>363</v>
      </c>
      <c r="F789" s="18">
        <f>SUM(H789:L789)</f>
        <v>-3323000</v>
      </c>
      <c r="G789" s="35"/>
      <c r="H789" s="33">
        <v>0</v>
      </c>
      <c r="I789" s="57"/>
      <c r="J789" s="33">
        <v>-3323000</v>
      </c>
      <c r="K789" s="57"/>
      <c r="L789" s="33">
        <v>0</v>
      </c>
      <c r="M789" s="57"/>
      <c r="N789" s="33">
        <v>0</v>
      </c>
      <c r="O789" s="57"/>
      <c r="P789" s="33">
        <v>-3323000</v>
      </c>
      <c r="Q789" s="57"/>
      <c r="R789" s="33">
        <v>0</v>
      </c>
      <c r="S789" s="29">
        <f t="shared" si="34"/>
        <v>0</v>
      </c>
    </row>
    <row r="790" spans="5:19" x14ac:dyDescent="0.25">
      <c r="E790" s="30" t="s">
        <v>364</v>
      </c>
      <c r="F790" s="18">
        <f>SUM(H790:L790)</f>
        <v>6287000</v>
      </c>
      <c r="G790" s="35"/>
      <c r="H790" s="33">
        <v>3999000</v>
      </c>
      <c r="I790" s="57"/>
      <c r="J790" s="33">
        <v>2275000</v>
      </c>
      <c r="K790" s="57"/>
      <c r="L790" s="33">
        <v>13000</v>
      </c>
      <c r="M790" s="57"/>
      <c r="N790" s="33">
        <v>2969000</v>
      </c>
      <c r="O790" s="57"/>
      <c r="P790" s="33">
        <v>3318000</v>
      </c>
      <c r="Q790" s="57"/>
      <c r="R790" s="33">
        <v>0</v>
      </c>
      <c r="S790" s="29">
        <f t="shared" si="34"/>
        <v>0</v>
      </c>
    </row>
    <row r="791" spans="5:19" x14ac:dyDescent="0.25">
      <c r="E791" s="30" t="s">
        <v>365</v>
      </c>
      <c r="F791" s="18">
        <f>SUM(H791:L791)</f>
        <v>578000</v>
      </c>
      <c r="G791" s="35"/>
      <c r="H791" s="33">
        <v>483000</v>
      </c>
      <c r="I791" s="57"/>
      <c r="J791" s="33">
        <v>95000</v>
      </c>
      <c r="K791" s="57"/>
      <c r="L791" s="33">
        <v>0</v>
      </c>
      <c r="M791" s="57"/>
      <c r="N791" s="33">
        <v>310000</v>
      </c>
      <c r="O791" s="57"/>
      <c r="P791" s="33">
        <v>268000</v>
      </c>
      <c r="Q791" s="57"/>
      <c r="R791" s="33">
        <v>0</v>
      </c>
      <c r="S791" s="29">
        <f t="shared" si="34"/>
        <v>0</v>
      </c>
    </row>
    <row r="792" spans="5:19" x14ac:dyDescent="0.25">
      <c r="E792" s="30" t="s">
        <v>366</v>
      </c>
      <c r="S792" s="29">
        <f t="shared" si="34"/>
        <v>0</v>
      </c>
    </row>
    <row r="793" spans="5:19" x14ac:dyDescent="0.25">
      <c r="E793" s="30" t="s">
        <v>367</v>
      </c>
      <c r="F793" s="18">
        <f>SUM(H793:L793)</f>
        <v>1731000</v>
      </c>
      <c r="G793" s="35"/>
      <c r="H793" s="33">
        <v>1557000</v>
      </c>
      <c r="I793" s="57"/>
      <c r="J793" s="33">
        <v>174000</v>
      </c>
      <c r="K793" s="57"/>
      <c r="L793" s="33">
        <v>0</v>
      </c>
      <c r="M793" s="57"/>
      <c r="N793" s="33">
        <v>1162000</v>
      </c>
      <c r="O793" s="57"/>
      <c r="P793" s="33">
        <v>569000</v>
      </c>
      <c r="Q793" s="57"/>
      <c r="R793" s="33">
        <v>0</v>
      </c>
      <c r="S793" s="29">
        <f t="shared" si="34"/>
        <v>0</v>
      </c>
    </row>
    <row r="794" spans="5:19" x14ac:dyDescent="0.25">
      <c r="E794" s="30" t="s">
        <v>368</v>
      </c>
      <c r="G794" s="7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29">
        <f t="shared" si="34"/>
        <v>0</v>
      </c>
    </row>
    <row r="795" spans="5:19" x14ac:dyDescent="0.25">
      <c r="E795" s="30" t="s">
        <v>369</v>
      </c>
      <c r="F795" s="18">
        <f>SUM(H795:L795)</f>
        <v>3488000</v>
      </c>
      <c r="G795" s="35"/>
      <c r="H795" s="33">
        <v>57000</v>
      </c>
      <c r="I795" s="57"/>
      <c r="J795" s="33">
        <v>3431000</v>
      </c>
      <c r="K795" s="57"/>
      <c r="L795" s="33">
        <v>0</v>
      </c>
      <c r="M795" s="57"/>
      <c r="N795" s="33">
        <v>1707000</v>
      </c>
      <c r="O795" s="57"/>
      <c r="P795" s="33">
        <v>1781000</v>
      </c>
      <c r="Q795" s="57"/>
      <c r="R795" s="33">
        <v>0</v>
      </c>
      <c r="S795" s="29">
        <f t="shared" si="34"/>
        <v>0</v>
      </c>
    </row>
    <row r="796" spans="5:19" x14ac:dyDescent="0.25">
      <c r="E796" s="30" t="s">
        <v>370</v>
      </c>
      <c r="F796" s="18">
        <f>SUM(H796:L796)</f>
        <v>51000</v>
      </c>
      <c r="G796" s="35"/>
      <c r="H796" s="33">
        <v>0</v>
      </c>
      <c r="I796" s="57"/>
      <c r="J796" s="33">
        <v>51000</v>
      </c>
      <c r="K796" s="57"/>
      <c r="L796" s="33">
        <v>0</v>
      </c>
      <c r="M796" s="57"/>
      <c r="N796" s="33">
        <v>0</v>
      </c>
      <c r="O796" s="57"/>
      <c r="P796" s="33">
        <v>51000</v>
      </c>
      <c r="Q796" s="57"/>
      <c r="R796" s="33">
        <v>0</v>
      </c>
      <c r="S796" s="29">
        <f t="shared" si="34"/>
        <v>0</v>
      </c>
    </row>
    <row r="797" spans="5:19" x14ac:dyDescent="0.25">
      <c r="E797" s="30" t="s">
        <v>371</v>
      </c>
      <c r="F797" s="18">
        <f>SUM(H797:L797)</f>
        <v>158000</v>
      </c>
      <c r="G797" s="35"/>
      <c r="H797" s="33">
        <v>4000</v>
      </c>
      <c r="I797" s="57"/>
      <c r="J797" s="33">
        <v>154000</v>
      </c>
      <c r="K797" s="57"/>
      <c r="L797" s="33">
        <v>0</v>
      </c>
      <c r="M797" s="57"/>
      <c r="N797" s="33">
        <v>139000</v>
      </c>
      <c r="O797" s="57"/>
      <c r="P797" s="33">
        <f>77000-1000</f>
        <v>76000</v>
      </c>
      <c r="Q797" s="57"/>
      <c r="R797" s="33">
        <v>57000</v>
      </c>
      <c r="S797" s="29">
        <f t="shared" si="34"/>
        <v>0</v>
      </c>
    </row>
    <row r="798" spans="5:19" x14ac:dyDescent="0.25">
      <c r="E798" s="30" t="s">
        <v>372</v>
      </c>
      <c r="G798" s="7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29">
        <f t="shared" si="34"/>
        <v>0</v>
      </c>
    </row>
    <row r="799" spans="5:19" x14ac:dyDescent="0.25">
      <c r="E799" s="30" t="s">
        <v>373</v>
      </c>
      <c r="F799" s="18">
        <f>SUM(H799:L799)</f>
        <v>1388000</v>
      </c>
      <c r="G799" s="35"/>
      <c r="H799" s="33">
        <v>1155000</v>
      </c>
      <c r="I799" s="57"/>
      <c r="J799" s="33">
        <v>233000</v>
      </c>
      <c r="K799" s="57"/>
      <c r="L799" s="33">
        <v>0</v>
      </c>
      <c r="M799" s="57"/>
      <c r="N799" s="33">
        <v>754000</v>
      </c>
      <c r="O799" s="57"/>
      <c r="P799" s="33">
        <v>634000</v>
      </c>
      <c r="Q799" s="57"/>
      <c r="R799" s="33">
        <v>0</v>
      </c>
      <c r="S799" s="29">
        <f t="shared" si="34"/>
        <v>0</v>
      </c>
    </row>
    <row r="800" spans="5:19" x14ac:dyDescent="0.25">
      <c r="E800" s="30" t="s">
        <v>374</v>
      </c>
      <c r="F800" s="18">
        <f>SUM(H800:L800)</f>
        <v>408000</v>
      </c>
      <c r="G800" s="35"/>
      <c r="H800" s="33">
        <v>285000</v>
      </c>
      <c r="I800" s="57"/>
      <c r="J800" s="33">
        <v>123000</v>
      </c>
      <c r="K800" s="57"/>
      <c r="L800" s="33">
        <v>0</v>
      </c>
      <c r="M800" s="57"/>
      <c r="N800" s="33">
        <v>275000</v>
      </c>
      <c r="O800" s="57"/>
      <c r="P800" s="33">
        <v>133000</v>
      </c>
      <c r="Q800" s="57"/>
      <c r="R800" s="33">
        <v>0</v>
      </c>
      <c r="S800" s="29">
        <f t="shared" si="34"/>
        <v>0</v>
      </c>
    </row>
    <row r="801" spans="3:19" x14ac:dyDescent="0.25">
      <c r="E801" s="30" t="s">
        <v>375</v>
      </c>
      <c r="F801" s="18">
        <f>SUM(H801:L801)</f>
        <v>2068000</v>
      </c>
      <c r="G801" s="35"/>
      <c r="H801" s="33">
        <v>527000</v>
      </c>
      <c r="I801" s="57"/>
      <c r="J801" s="33">
        <v>1541000</v>
      </c>
      <c r="K801" s="57"/>
      <c r="L801" s="33">
        <v>0</v>
      </c>
      <c r="M801" s="57"/>
      <c r="N801" s="33">
        <v>386000</v>
      </c>
      <c r="O801" s="57"/>
      <c r="P801" s="33">
        <v>1682000</v>
      </c>
      <c r="Q801" s="57"/>
      <c r="R801" s="33">
        <v>0</v>
      </c>
      <c r="S801" s="29">
        <f t="shared" si="34"/>
        <v>0</v>
      </c>
    </row>
    <row r="802" spans="3:19" x14ac:dyDescent="0.25">
      <c r="E802" s="30" t="s">
        <v>376</v>
      </c>
      <c r="F802" s="18">
        <f>SUM(H802:L802)</f>
        <v>2942000</v>
      </c>
      <c r="G802" s="35"/>
      <c r="H802" s="33">
        <v>0</v>
      </c>
      <c r="I802" s="57"/>
      <c r="J802" s="33">
        <v>2942000</v>
      </c>
      <c r="K802" s="57"/>
      <c r="L802" s="33">
        <v>0</v>
      </c>
      <c r="M802" s="57"/>
      <c r="N802" s="33">
        <v>876000</v>
      </c>
      <c r="O802" s="57"/>
      <c r="P802" s="33">
        <v>2066000</v>
      </c>
      <c r="Q802" s="57"/>
      <c r="R802" s="33">
        <v>0</v>
      </c>
      <c r="S802" s="29">
        <f t="shared" si="34"/>
        <v>0</v>
      </c>
    </row>
    <row r="803" spans="3:19" x14ac:dyDescent="0.25">
      <c r="E803" s="30" t="s">
        <v>377</v>
      </c>
      <c r="G803" s="7"/>
      <c r="I803" s="33"/>
      <c r="K803" s="33"/>
      <c r="M803" s="33"/>
      <c r="N803" s="33"/>
      <c r="O803" s="33"/>
      <c r="P803" s="33"/>
      <c r="Q803" s="33"/>
      <c r="R803" s="33"/>
      <c r="S803" s="29">
        <f t="shared" si="34"/>
        <v>0</v>
      </c>
    </row>
    <row r="804" spans="3:19" x14ac:dyDescent="0.25">
      <c r="E804" s="30" t="s">
        <v>378</v>
      </c>
      <c r="F804" s="18">
        <f>SUM(H804:L804)</f>
        <v>2822000</v>
      </c>
      <c r="G804" s="35"/>
      <c r="H804" s="33">
        <v>1363000</v>
      </c>
      <c r="I804" s="57"/>
      <c r="J804" s="33">
        <v>1393000</v>
      </c>
      <c r="K804" s="57"/>
      <c r="L804" s="33">
        <v>66000</v>
      </c>
      <c r="M804" s="57"/>
      <c r="N804" s="33">
        <f>1446000+1000</f>
        <v>1447000</v>
      </c>
      <c r="O804" s="57"/>
      <c r="P804" s="33">
        <v>1375000</v>
      </c>
      <c r="Q804" s="57"/>
      <c r="R804" s="33">
        <v>0</v>
      </c>
      <c r="S804" s="29">
        <f t="shared" si="34"/>
        <v>0</v>
      </c>
    </row>
    <row r="805" spans="3:19" x14ac:dyDescent="0.25">
      <c r="E805" s="30" t="s">
        <v>379</v>
      </c>
      <c r="F805" s="18">
        <f>SUM(H805:L805)</f>
        <v>1674000</v>
      </c>
      <c r="G805" s="35"/>
      <c r="H805" s="33">
        <v>478000</v>
      </c>
      <c r="I805" s="57"/>
      <c r="J805" s="33">
        <v>853000</v>
      </c>
      <c r="K805" s="57"/>
      <c r="L805" s="33">
        <f>342000+1000</f>
        <v>343000</v>
      </c>
      <c r="M805" s="57"/>
      <c r="N805" s="33">
        <v>1024000</v>
      </c>
      <c r="O805" s="57"/>
      <c r="P805" s="33">
        <v>650000</v>
      </c>
      <c r="Q805" s="57"/>
      <c r="R805" s="33">
        <v>0</v>
      </c>
      <c r="S805" s="29">
        <f t="shared" si="34"/>
        <v>0</v>
      </c>
    </row>
    <row r="806" spans="3:19" x14ac:dyDescent="0.25">
      <c r="E806" s="30" t="s">
        <v>380</v>
      </c>
      <c r="G806" s="35"/>
      <c r="H806" s="33"/>
      <c r="I806" s="57"/>
      <c r="J806" s="33"/>
      <c r="K806" s="57"/>
      <c r="L806" s="33"/>
      <c r="M806" s="57"/>
      <c r="N806" s="33"/>
      <c r="O806" s="57"/>
      <c r="P806" s="33"/>
      <c r="Q806" s="57"/>
      <c r="R806" s="33"/>
      <c r="S806" s="29">
        <f t="shared" si="34"/>
        <v>0</v>
      </c>
    </row>
    <row r="807" spans="3:19" x14ac:dyDescent="0.25">
      <c r="E807" s="30" t="s">
        <v>369</v>
      </c>
      <c r="F807" s="18">
        <f>SUM(H807:L807)</f>
        <v>1190000</v>
      </c>
      <c r="G807" s="35"/>
      <c r="H807" s="33">
        <v>1015000</v>
      </c>
      <c r="I807" s="57"/>
      <c r="J807" s="33">
        <v>175000</v>
      </c>
      <c r="K807" s="57"/>
      <c r="L807" s="33">
        <v>0</v>
      </c>
      <c r="M807" s="57"/>
      <c r="N807" s="33">
        <v>727000</v>
      </c>
      <c r="O807" s="57"/>
      <c r="P807" s="33">
        <v>463000</v>
      </c>
      <c r="Q807" s="57"/>
      <c r="R807" s="33">
        <v>0</v>
      </c>
      <c r="S807" s="29">
        <f t="shared" si="34"/>
        <v>0</v>
      </c>
    </row>
    <row r="808" spans="3:19" x14ac:dyDescent="0.25">
      <c r="E808" s="30" t="s">
        <v>381</v>
      </c>
      <c r="F808" s="18">
        <f>SUM(H808:L808)</f>
        <v>3063000</v>
      </c>
      <c r="G808" s="35"/>
      <c r="H808" s="33">
        <v>2023000</v>
      </c>
      <c r="I808" s="57"/>
      <c r="J808" s="33">
        <v>1026000</v>
      </c>
      <c r="K808" s="57"/>
      <c r="L808" s="33">
        <v>14000</v>
      </c>
      <c r="M808" s="57"/>
      <c r="N808" s="33">
        <v>1939000</v>
      </c>
      <c r="O808" s="57"/>
      <c r="P808" s="33">
        <v>1124000</v>
      </c>
      <c r="Q808" s="57"/>
      <c r="R808" s="33">
        <v>0</v>
      </c>
      <c r="S808" s="29">
        <f t="shared" si="34"/>
        <v>0</v>
      </c>
    </row>
    <row r="809" spans="3:19" x14ac:dyDescent="0.25">
      <c r="E809" s="30" t="s">
        <v>382</v>
      </c>
      <c r="F809" s="18">
        <f>SUM(H809:L809)</f>
        <v>2046000</v>
      </c>
      <c r="G809" s="35"/>
      <c r="H809" s="33">
        <v>262000</v>
      </c>
      <c r="I809" s="57"/>
      <c r="J809" s="33">
        <v>1661000</v>
      </c>
      <c r="K809" s="57"/>
      <c r="L809" s="33">
        <f>124000-1000</f>
        <v>123000</v>
      </c>
      <c r="M809" s="57"/>
      <c r="N809" s="33">
        <v>1082000</v>
      </c>
      <c r="O809" s="57"/>
      <c r="P809" s="33">
        <v>964000</v>
      </c>
      <c r="Q809" s="57"/>
      <c r="R809" s="33">
        <v>0</v>
      </c>
      <c r="S809" s="29">
        <f t="shared" si="34"/>
        <v>0</v>
      </c>
    </row>
    <row r="810" spans="3:19" x14ac:dyDescent="0.25">
      <c r="E810" s="30" t="s">
        <v>383</v>
      </c>
      <c r="G810" s="7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29">
        <f t="shared" si="34"/>
        <v>0</v>
      </c>
    </row>
    <row r="811" spans="3:19" x14ac:dyDescent="0.25">
      <c r="E811" s="30" t="s">
        <v>384</v>
      </c>
      <c r="F811" s="58">
        <f>SUM(H811:L811)</f>
        <v>2505000</v>
      </c>
      <c r="G811" s="7"/>
      <c r="H811" s="36">
        <v>2000000</v>
      </c>
      <c r="I811" s="33"/>
      <c r="J811" s="36">
        <v>122000</v>
      </c>
      <c r="K811" s="33"/>
      <c r="L811" s="36">
        <v>383000</v>
      </c>
      <c r="M811" s="33"/>
      <c r="N811" s="36">
        <v>1659000</v>
      </c>
      <c r="O811" s="33"/>
      <c r="P811" s="36">
        <v>846000</v>
      </c>
      <c r="Q811" s="33"/>
      <c r="R811" s="36">
        <v>0</v>
      </c>
      <c r="S811" s="29">
        <f t="shared" si="34"/>
        <v>0</v>
      </c>
    </row>
    <row r="812" spans="3:19" x14ac:dyDescent="0.25"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29">
        <f t="shared" si="34"/>
        <v>0</v>
      </c>
    </row>
    <row r="813" spans="3:19" x14ac:dyDescent="0.25">
      <c r="E813" s="30" t="s">
        <v>2</v>
      </c>
      <c r="F813" s="58">
        <f>SUM(H813:L813)</f>
        <v>31477000</v>
      </c>
      <c r="G813" s="7"/>
      <c r="H813" s="58">
        <f>SUM(H785:H812)</f>
        <v>16319000</v>
      </c>
      <c r="I813" s="7"/>
      <c r="J813" s="58">
        <f>SUM(J785:J812)</f>
        <v>14215000</v>
      </c>
      <c r="K813" s="7"/>
      <c r="L813" s="58">
        <f>SUM(L785:L812)</f>
        <v>943000</v>
      </c>
      <c r="M813" s="7"/>
      <c r="N813" s="58">
        <f>SUM(N785:N812)</f>
        <v>17951000</v>
      </c>
      <c r="O813" s="7"/>
      <c r="P813" s="58">
        <f>SUM(P785:P812)</f>
        <v>13583000</v>
      </c>
      <c r="Q813" s="7"/>
      <c r="R813" s="58">
        <f>SUM(R785:R812)</f>
        <v>57000</v>
      </c>
      <c r="S813" s="29">
        <f t="shared" si="34"/>
        <v>0</v>
      </c>
    </row>
    <row r="814" spans="3:19" x14ac:dyDescent="0.25">
      <c r="C814" s="29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29">
        <f t="shared" si="34"/>
        <v>0</v>
      </c>
    </row>
    <row r="815" spans="3:19" x14ac:dyDescent="0.25">
      <c r="C815" s="38" t="s">
        <v>385</v>
      </c>
      <c r="D815" s="30"/>
      <c r="F815" s="58">
        <f>SUM(H815:L815)</f>
        <v>1175000</v>
      </c>
      <c r="G815" s="7"/>
      <c r="H815" s="36">
        <v>1161000</v>
      </c>
      <c r="I815" s="57"/>
      <c r="J815" s="36">
        <v>12000</v>
      </c>
      <c r="K815" s="57"/>
      <c r="L815" s="36">
        <v>2000</v>
      </c>
      <c r="M815" s="57"/>
      <c r="N815" s="36">
        <v>799000</v>
      </c>
      <c r="O815" s="57"/>
      <c r="P815" s="36">
        <v>376000</v>
      </c>
      <c r="Q815" s="57"/>
      <c r="R815" s="36">
        <v>0</v>
      </c>
      <c r="S815" s="29">
        <f t="shared" si="34"/>
        <v>0</v>
      </c>
    </row>
    <row r="816" spans="3:19" x14ac:dyDescent="0.25">
      <c r="C816" s="29"/>
      <c r="D816" s="30"/>
      <c r="G816" s="7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29">
        <f t="shared" si="34"/>
        <v>0</v>
      </c>
    </row>
    <row r="817" spans="3:19" x14ac:dyDescent="0.25">
      <c r="C817" s="30" t="s">
        <v>386</v>
      </c>
      <c r="D817" s="3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29">
        <f t="shared" si="34"/>
        <v>0</v>
      </c>
    </row>
    <row r="818" spans="3:19" x14ac:dyDescent="0.25">
      <c r="E818" s="30" t="s">
        <v>387</v>
      </c>
      <c r="F818" s="18">
        <f>SUM(H818:L818)</f>
        <v>2887000</v>
      </c>
      <c r="G818" s="35"/>
      <c r="H818" s="33">
        <v>2269000</v>
      </c>
      <c r="I818" s="57"/>
      <c r="J818" s="33">
        <v>618000</v>
      </c>
      <c r="K818" s="57"/>
      <c r="L818" s="33">
        <v>0</v>
      </c>
      <c r="M818" s="57"/>
      <c r="N818" s="33">
        <v>1936000</v>
      </c>
      <c r="O818" s="57"/>
      <c r="P818" s="33">
        <v>951000</v>
      </c>
      <c r="Q818" s="57"/>
      <c r="R818" s="33">
        <v>0</v>
      </c>
      <c r="S818" s="29">
        <f t="shared" si="34"/>
        <v>0</v>
      </c>
    </row>
    <row r="819" spans="3:19" x14ac:dyDescent="0.25">
      <c r="E819" s="30" t="s">
        <v>388</v>
      </c>
      <c r="F819" s="18">
        <f>SUM(H819:L819)</f>
        <v>2092000</v>
      </c>
      <c r="G819" s="35"/>
      <c r="H819" s="33">
        <v>1031000</v>
      </c>
      <c r="I819" s="57"/>
      <c r="J819" s="33">
        <v>1061000</v>
      </c>
      <c r="K819" s="57"/>
      <c r="L819" s="33">
        <v>0</v>
      </c>
      <c r="M819" s="57"/>
      <c r="N819" s="33">
        <v>772000</v>
      </c>
      <c r="O819" s="57"/>
      <c r="P819" s="33">
        <v>1320000</v>
      </c>
      <c r="Q819" s="57"/>
      <c r="R819" s="33">
        <v>0</v>
      </c>
      <c r="S819" s="29">
        <f t="shared" si="34"/>
        <v>0</v>
      </c>
    </row>
    <row r="820" spans="3:19" x14ac:dyDescent="0.25">
      <c r="E820" s="30" t="s">
        <v>479</v>
      </c>
      <c r="F820" s="58">
        <f>SUM(H820:L820)</f>
        <v>2745000</v>
      </c>
      <c r="G820" s="7"/>
      <c r="H820" s="36">
        <v>43000</v>
      </c>
      <c r="I820" s="33"/>
      <c r="J820" s="36">
        <v>2702000</v>
      </c>
      <c r="K820" s="33"/>
      <c r="L820" s="36">
        <v>0</v>
      </c>
      <c r="M820" s="33"/>
      <c r="N820" s="36">
        <v>1852000</v>
      </c>
      <c r="O820" s="33"/>
      <c r="P820" s="36">
        <v>893000</v>
      </c>
      <c r="Q820" s="33"/>
      <c r="R820" s="36">
        <v>0</v>
      </c>
      <c r="S820" s="29">
        <f t="shared" si="34"/>
        <v>0</v>
      </c>
    </row>
    <row r="821" spans="3:19" x14ac:dyDescent="0.25">
      <c r="G821" s="7"/>
      <c r="H821" s="33"/>
      <c r="I821" s="33"/>
      <c r="J821" s="33"/>
      <c r="K821" s="33"/>
      <c r="L821" s="33"/>
      <c r="M821" s="33"/>
      <c r="N821" s="33"/>
      <c r="O821" s="33"/>
      <c r="P821" s="33"/>
      <c r="Q821" s="45"/>
      <c r="R821" s="33"/>
      <c r="S821" s="29">
        <f t="shared" si="34"/>
        <v>0</v>
      </c>
    </row>
    <row r="822" spans="3:19" x14ac:dyDescent="0.25">
      <c r="C822" s="29"/>
      <c r="D822" s="29"/>
      <c r="E822" s="30" t="s">
        <v>2</v>
      </c>
      <c r="F822" s="58">
        <f>SUM(H822:L822)</f>
        <v>7724000</v>
      </c>
      <c r="G822" s="7"/>
      <c r="H822" s="36">
        <f>SUM(H818:H820)</f>
        <v>3343000</v>
      </c>
      <c r="I822" s="33"/>
      <c r="J822" s="36">
        <f>SUM(J818:J820)</f>
        <v>4381000</v>
      </c>
      <c r="K822" s="33"/>
      <c r="L822" s="36">
        <f>SUM(L818:L820)</f>
        <v>0</v>
      </c>
      <c r="M822" s="33"/>
      <c r="N822" s="36">
        <f>SUM(N818:N820)</f>
        <v>4560000</v>
      </c>
      <c r="O822" s="33"/>
      <c r="P822" s="36">
        <f>SUM(P818:P820)</f>
        <v>3164000</v>
      </c>
      <c r="Q822" s="45"/>
      <c r="R822" s="36">
        <f>SUM(R818:R820)</f>
        <v>0</v>
      </c>
      <c r="S822" s="29">
        <f t="shared" si="34"/>
        <v>0</v>
      </c>
    </row>
    <row r="823" spans="3:19" x14ac:dyDescent="0.25"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29">
        <f t="shared" si="34"/>
        <v>0</v>
      </c>
    </row>
    <row r="824" spans="3:19" x14ac:dyDescent="0.25">
      <c r="C824" s="38" t="s">
        <v>389</v>
      </c>
      <c r="D824" s="30"/>
      <c r="E824" s="34"/>
      <c r="G824" s="7"/>
      <c r="H824" s="33"/>
      <c r="I824" s="33"/>
      <c r="J824" s="33"/>
      <c r="K824" s="33"/>
      <c r="L824" s="33"/>
      <c r="M824" s="33"/>
      <c r="N824" s="33"/>
      <c r="O824" s="33"/>
      <c r="P824" s="33"/>
      <c r="Q824" s="45"/>
      <c r="R824" s="33"/>
      <c r="S824" s="29">
        <f t="shared" si="34"/>
        <v>0</v>
      </c>
    </row>
    <row r="825" spans="3:19" x14ac:dyDescent="0.25">
      <c r="C825" s="30"/>
      <c r="D825" s="30"/>
      <c r="E825" s="34" t="s">
        <v>390</v>
      </c>
      <c r="F825" s="18">
        <f>SUM(H825:L825)</f>
        <v>6930000</v>
      </c>
      <c r="G825" s="35"/>
      <c r="H825" s="33">
        <v>2689000</v>
      </c>
      <c r="I825" s="57"/>
      <c r="J825" s="33">
        <v>4241000</v>
      </c>
      <c r="K825" s="57"/>
      <c r="L825" s="33">
        <v>0</v>
      </c>
      <c r="M825" s="57"/>
      <c r="N825" s="33">
        <v>3617000</v>
      </c>
      <c r="O825" s="57"/>
      <c r="P825" s="33">
        <f>3525000+1000</f>
        <v>3526000</v>
      </c>
      <c r="Q825" s="57"/>
      <c r="R825" s="33">
        <v>213000</v>
      </c>
      <c r="S825" s="29">
        <f t="shared" si="34"/>
        <v>0</v>
      </c>
    </row>
    <row r="826" spans="3:19" x14ac:dyDescent="0.25">
      <c r="C826" s="30"/>
      <c r="D826" s="30"/>
      <c r="E826" s="34" t="s">
        <v>391</v>
      </c>
      <c r="F826" s="18">
        <f>SUM(H826:L826)</f>
        <v>4135000</v>
      </c>
      <c r="G826" s="35"/>
      <c r="H826" s="33">
        <v>1348000</v>
      </c>
      <c r="I826" s="57"/>
      <c r="J826" s="33">
        <v>2787000</v>
      </c>
      <c r="K826" s="57"/>
      <c r="L826" s="33">
        <v>0</v>
      </c>
      <c r="M826" s="57"/>
      <c r="N826" s="33">
        <v>1511000</v>
      </c>
      <c r="O826" s="57"/>
      <c r="P826" s="33">
        <v>2624000</v>
      </c>
      <c r="Q826" s="57"/>
      <c r="R826" s="33">
        <v>0</v>
      </c>
      <c r="S826" s="29">
        <f t="shared" si="34"/>
        <v>0</v>
      </c>
    </row>
    <row r="827" spans="3:19" x14ac:dyDescent="0.25">
      <c r="C827" s="30"/>
      <c r="D827" s="30"/>
      <c r="E827" s="34" t="s">
        <v>392</v>
      </c>
      <c r="F827" s="18">
        <f>SUM(H827:L827)</f>
        <v>1528000</v>
      </c>
      <c r="G827" s="35"/>
      <c r="H827" s="33">
        <v>946000</v>
      </c>
      <c r="I827" s="57"/>
      <c r="J827" s="33">
        <v>582000</v>
      </c>
      <c r="K827" s="57"/>
      <c r="L827" s="33">
        <v>0</v>
      </c>
      <c r="M827" s="57"/>
      <c r="N827" s="33">
        <v>1026000</v>
      </c>
      <c r="O827" s="57"/>
      <c r="P827" s="33">
        <v>502000</v>
      </c>
      <c r="Q827" s="57"/>
      <c r="R827" s="33">
        <v>0</v>
      </c>
      <c r="S827" s="29">
        <f t="shared" si="34"/>
        <v>0</v>
      </c>
    </row>
    <row r="828" spans="3:19" x14ac:dyDescent="0.25">
      <c r="C828" s="30"/>
      <c r="D828" s="30"/>
      <c r="E828" s="34" t="s">
        <v>393</v>
      </c>
      <c r="F828" s="18">
        <f>SUM(H828:L828)</f>
        <v>1738000</v>
      </c>
      <c r="G828" s="35"/>
      <c r="H828" s="33">
        <v>1674000</v>
      </c>
      <c r="I828" s="57"/>
      <c r="J828" s="33">
        <v>64000</v>
      </c>
      <c r="K828" s="57"/>
      <c r="L828" s="33">
        <v>0</v>
      </c>
      <c r="M828" s="57"/>
      <c r="N828" s="33">
        <f>1253000-1000</f>
        <v>1252000</v>
      </c>
      <c r="O828" s="57"/>
      <c r="P828" s="33">
        <v>486000</v>
      </c>
      <c r="Q828" s="57"/>
      <c r="R828" s="33">
        <v>0</v>
      </c>
      <c r="S828" s="29">
        <f t="shared" si="34"/>
        <v>0</v>
      </c>
    </row>
    <row r="829" spans="3:19" x14ac:dyDescent="0.25">
      <c r="C829" s="30"/>
      <c r="D829" s="30"/>
      <c r="E829" s="34"/>
      <c r="F829" s="3"/>
      <c r="G829" s="7"/>
      <c r="H829" s="54"/>
      <c r="I829" s="33"/>
      <c r="J829" s="54"/>
      <c r="K829" s="33"/>
      <c r="L829" s="54"/>
      <c r="M829" s="33"/>
      <c r="N829" s="54"/>
      <c r="O829" s="33"/>
      <c r="P829" s="54"/>
      <c r="Q829" s="45"/>
      <c r="R829" s="54"/>
      <c r="S829" s="29">
        <f t="shared" ref="S829:S892" si="35">+F829-N829-P829+R829</f>
        <v>0</v>
      </c>
    </row>
    <row r="830" spans="3:19" x14ac:dyDescent="0.25">
      <c r="C830" s="30"/>
      <c r="D830" s="30"/>
      <c r="E830" s="30" t="s">
        <v>56</v>
      </c>
      <c r="F830" s="58">
        <f>SUM(H830:L830)</f>
        <v>14331000</v>
      </c>
      <c r="G830" s="7"/>
      <c r="H830" s="36">
        <f>SUM(H825:H829)</f>
        <v>6657000</v>
      </c>
      <c r="I830" s="33"/>
      <c r="J830" s="36">
        <f>SUM(J825:J829)</f>
        <v>7674000</v>
      </c>
      <c r="K830" s="33"/>
      <c r="L830" s="36">
        <f>SUM(L825:L829)</f>
        <v>0</v>
      </c>
      <c r="M830" s="33"/>
      <c r="N830" s="36">
        <f>SUM(N825:N829)</f>
        <v>7406000</v>
      </c>
      <c r="O830" s="33"/>
      <c r="P830" s="36">
        <f>SUM(P825:P829)</f>
        <v>7138000</v>
      </c>
      <c r="Q830" s="45"/>
      <c r="R830" s="36">
        <f>SUM(R825:R829)</f>
        <v>213000</v>
      </c>
      <c r="S830" s="29">
        <f t="shared" si="35"/>
        <v>0</v>
      </c>
    </row>
    <row r="831" spans="3:19" x14ac:dyDescent="0.25">
      <c r="D831" s="30"/>
      <c r="E831" s="34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29">
        <f t="shared" si="35"/>
        <v>0</v>
      </c>
    </row>
    <row r="832" spans="3:19" x14ac:dyDescent="0.25">
      <c r="C832" s="30" t="s">
        <v>394</v>
      </c>
      <c r="D832" s="30"/>
      <c r="E832" s="34"/>
      <c r="F832" s="58">
        <f>SUM(H832:L832)</f>
        <v>1360000</v>
      </c>
      <c r="G832" s="7"/>
      <c r="H832" s="36">
        <v>0</v>
      </c>
      <c r="I832" s="33"/>
      <c r="J832" s="36">
        <v>1360000</v>
      </c>
      <c r="K832" s="33"/>
      <c r="L832" s="36">
        <v>0</v>
      </c>
      <c r="M832" s="33"/>
      <c r="N832" s="36">
        <v>870000</v>
      </c>
      <c r="O832" s="33"/>
      <c r="P832" s="36">
        <v>490000</v>
      </c>
      <c r="Q832" s="33"/>
      <c r="R832" s="36">
        <v>0</v>
      </c>
      <c r="S832" s="29">
        <f t="shared" si="35"/>
        <v>0</v>
      </c>
    </row>
    <row r="833" spans="3:19" x14ac:dyDescent="0.25">
      <c r="C833" s="30"/>
      <c r="D833" s="30"/>
      <c r="E833" s="34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29">
        <f t="shared" si="35"/>
        <v>0</v>
      </c>
    </row>
    <row r="834" spans="3:19" x14ac:dyDescent="0.25">
      <c r="C834" s="30" t="s">
        <v>395</v>
      </c>
      <c r="D834" s="30"/>
      <c r="E834" s="34"/>
      <c r="F834" s="58">
        <f>SUM(H834:L834)</f>
        <v>-1644000</v>
      </c>
      <c r="G834" s="7"/>
      <c r="H834" s="36">
        <v>0</v>
      </c>
      <c r="I834" s="33"/>
      <c r="J834" s="36">
        <v>-1644000</v>
      </c>
      <c r="K834" s="33"/>
      <c r="L834" s="36">
        <v>0</v>
      </c>
      <c r="M834" s="33"/>
      <c r="N834" s="36">
        <v>1333000</v>
      </c>
      <c r="O834" s="33"/>
      <c r="P834" s="36">
        <v>-2977000</v>
      </c>
      <c r="Q834" s="33"/>
      <c r="R834" s="36">
        <v>0</v>
      </c>
      <c r="S834" s="29">
        <f t="shared" si="35"/>
        <v>0</v>
      </c>
    </row>
    <row r="835" spans="3:19" x14ac:dyDescent="0.25">
      <c r="C835" s="30"/>
      <c r="D835" s="30"/>
      <c r="E835" s="34"/>
      <c r="G835" s="7"/>
      <c r="H835" s="18"/>
      <c r="I835" s="7"/>
      <c r="J835" s="18"/>
      <c r="K835" s="18"/>
      <c r="L835" s="18"/>
      <c r="M835" s="18"/>
      <c r="N835" s="18"/>
      <c r="O835" s="18"/>
      <c r="P835" s="18"/>
      <c r="Q835" s="7"/>
      <c r="R835" s="18"/>
      <c r="S835" s="29">
        <f t="shared" si="35"/>
        <v>0</v>
      </c>
    </row>
    <row r="836" spans="3:19" x14ac:dyDescent="0.25">
      <c r="C836" s="30" t="s">
        <v>396</v>
      </c>
      <c r="D836" s="30"/>
      <c r="E836" s="34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29">
        <f t="shared" si="35"/>
        <v>0</v>
      </c>
    </row>
    <row r="837" spans="3:19" x14ac:dyDescent="0.25">
      <c r="C837" s="30"/>
      <c r="D837" s="30" t="s">
        <v>29</v>
      </c>
      <c r="E837" s="34"/>
      <c r="F837" s="58">
        <f>SUM(H837:L837)</f>
        <v>4679000</v>
      </c>
      <c r="G837" s="7"/>
      <c r="H837" s="36">
        <v>2731000</v>
      </c>
      <c r="I837" s="33"/>
      <c r="J837" s="36">
        <v>1927000</v>
      </c>
      <c r="K837" s="33"/>
      <c r="L837" s="36">
        <v>21000</v>
      </c>
      <c r="M837" s="33"/>
      <c r="N837" s="36">
        <v>2963000</v>
      </c>
      <c r="O837" s="33"/>
      <c r="P837" s="36">
        <v>2044000</v>
      </c>
      <c r="Q837" s="33"/>
      <c r="R837" s="36">
        <v>328000</v>
      </c>
      <c r="S837" s="29">
        <f t="shared" si="35"/>
        <v>0</v>
      </c>
    </row>
    <row r="838" spans="3:19" x14ac:dyDescent="0.25"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29">
        <f t="shared" si="35"/>
        <v>0</v>
      </c>
    </row>
    <row r="839" spans="3:19" x14ac:dyDescent="0.25">
      <c r="C839" s="38" t="s">
        <v>397</v>
      </c>
      <c r="F839" s="58">
        <f>SUM(H839:L839)</f>
        <v>9574000</v>
      </c>
      <c r="G839" s="7"/>
      <c r="H839" s="36">
        <v>9016000</v>
      </c>
      <c r="I839" s="33"/>
      <c r="J839" s="36">
        <v>515000</v>
      </c>
      <c r="K839" s="33"/>
      <c r="L839" s="36">
        <v>43000</v>
      </c>
      <c r="M839" s="33"/>
      <c r="N839" s="36">
        <v>5351000</v>
      </c>
      <c r="O839" s="33"/>
      <c r="P839" s="36">
        <v>5354000</v>
      </c>
      <c r="Q839" s="33"/>
      <c r="R839" s="36">
        <v>1131000</v>
      </c>
      <c r="S839" s="29">
        <f t="shared" si="35"/>
        <v>0</v>
      </c>
    </row>
    <row r="840" spans="3:19" x14ac:dyDescent="0.25">
      <c r="C840" s="30"/>
      <c r="D840" s="30"/>
      <c r="E840" s="34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29">
        <f t="shared" si="35"/>
        <v>0</v>
      </c>
    </row>
    <row r="841" spans="3:19" x14ac:dyDescent="0.25">
      <c r="C841" s="30" t="s">
        <v>398</v>
      </c>
      <c r="D841" s="30"/>
      <c r="E841" s="34"/>
      <c r="G841" s="7"/>
      <c r="H841" s="33"/>
      <c r="I841" s="33"/>
      <c r="J841" s="33"/>
      <c r="K841" s="33"/>
      <c r="L841" s="33"/>
      <c r="M841" s="33"/>
      <c r="N841" s="33"/>
      <c r="O841" s="33"/>
      <c r="P841" s="33"/>
      <c r="Q841" s="45"/>
      <c r="R841" s="33"/>
      <c r="S841" s="29">
        <f t="shared" si="35"/>
        <v>0</v>
      </c>
    </row>
    <row r="842" spans="3:19" x14ac:dyDescent="0.25">
      <c r="C842" s="30"/>
      <c r="D842" s="30"/>
      <c r="E842" s="34" t="s">
        <v>289</v>
      </c>
      <c r="F842" s="18">
        <f>SUM(H842:L842)</f>
        <v>19125000</v>
      </c>
      <c r="G842" s="35"/>
      <c r="H842" s="33">
        <v>10757000</v>
      </c>
      <c r="I842" s="57"/>
      <c r="J842" s="33">
        <v>8366000</v>
      </c>
      <c r="K842" s="57"/>
      <c r="L842" s="33">
        <v>2000</v>
      </c>
      <c r="M842" s="57"/>
      <c r="N842" s="33">
        <v>7167000</v>
      </c>
      <c r="O842" s="57"/>
      <c r="P842" s="33">
        <v>14157000</v>
      </c>
      <c r="Q842" s="57"/>
      <c r="R842" s="33">
        <v>2199000</v>
      </c>
      <c r="S842" s="29">
        <f t="shared" si="35"/>
        <v>0</v>
      </c>
    </row>
    <row r="843" spans="3:19" x14ac:dyDescent="0.25">
      <c r="C843" s="30"/>
      <c r="D843" s="30"/>
      <c r="E843" s="34" t="s">
        <v>399</v>
      </c>
      <c r="G843" s="7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29">
        <f t="shared" si="35"/>
        <v>0</v>
      </c>
    </row>
    <row r="844" spans="3:19" x14ac:dyDescent="0.25">
      <c r="C844" s="30"/>
      <c r="D844" s="30"/>
      <c r="E844" s="30" t="s">
        <v>400</v>
      </c>
      <c r="F844" s="18">
        <f>SUM(H844:L844)</f>
        <v>1059000</v>
      </c>
      <c r="G844" s="35"/>
      <c r="H844" s="33">
        <v>371000</v>
      </c>
      <c r="I844" s="57"/>
      <c r="J844" s="33">
        <v>429000</v>
      </c>
      <c r="K844" s="57"/>
      <c r="L844" s="33">
        <v>259000</v>
      </c>
      <c r="M844" s="57"/>
      <c r="N844" s="33">
        <v>616000</v>
      </c>
      <c r="O844" s="57"/>
      <c r="P844" s="33">
        <v>1022000</v>
      </c>
      <c r="Q844" s="57"/>
      <c r="R844" s="33">
        <f>580000-1000</f>
        <v>579000</v>
      </c>
      <c r="S844" s="29">
        <f t="shared" si="35"/>
        <v>0</v>
      </c>
    </row>
    <row r="845" spans="3:19" x14ac:dyDescent="0.25">
      <c r="C845" s="30"/>
      <c r="D845" s="30"/>
      <c r="E845" s="34" t="s">
        <v>300</v>
      </c>
      <c r="F845" s="18">
        <f>SUM(H845:L845)</f>
        <v>1531000</v>
      </c>
      <c r="G845" s="35"/>
      <c r="H845" s="33">
        <v>1516000</v>
      </c>
      <c r="I845" s="57"/>
      <c r="J845" s="33">
        <v>15000</v>
      </c>
      <c r="K845" s="57"/>
      <c r="L845" s="33">
        <v>0</v>
      </c>
      <c r="M845" s="57"/>
      <c r="N845" s="33">
        <v>781000</v>
      </c>
      <c r="O845" s="57"/>
      <c r="P845" s="33">
        <v>750000</v>
      </c>
      <c r="Q845" s="57"/>
      <c r="R845" s="33">
        <v>0</v>
      </c>
      <c r="S845" s="29">
        <f t="shared" si="35"/>
        <v>0</v>
      </c>
    </row>
    <row r="846" spans="3:19" x14ac:dyDescent="0.25">
      <c r="C846" s="30"/>
      <c r="D846" s="30"/>
      <c r="E846" s="34" t="s">
        <v>401</v>
      </c>
      <c r="F846" s="18">
        <f>SUM(H846:L846)</f>
        <v>3629000</v>
      </c>
      <c r="G846" s="35"/>
      <c r="H846" s="33">
        <v>1037000</v>
      </c>
      <c r="I846" s="57"/>
      <c r="J846" s="33">
        <v>2592000</v>
      </c>
      <c r="K846" s="57"/>
      <c r="L846" s="33">
        <v>0</v>
      </c>
      <c r="M846" s="57"/>
      <c r="N846" s="33">
        <v>2281000</v>
      </c>
      <c r="O846" s="57"/>
      <c r="P846" s="33">
        <v>1348000</v>
      </c>
      <c r="Q846" s="57"/>
      <c r="R846" s="33">
        <v>0</v>
      </c>
      <c r="S846" s="29">
        <f t="shared" si="35"/>
        <v>0</v>
      </c>
    </row>
    <row r="847" spans="3:19" x14ac:dyDescent="0.25">
      <c r="C847" s="30"/>
      <c r="D847" s="30"/>
      <c r="E847" s="34" t="s">
        <v>482</v>
      </c>
      <c r="F847" s="58">
        <f>SUM(H847:L847)</f>
        <v>1153000</v>
      </c>
      <c r="G847" s="7"/>
      <c r="H847" s="36">
        <v>1067000</v>
      </c>
      <c r="I847" s="33"/>
      <c r="J847" s="36">
        <v>85000</v>
      </c>
      <c r="K847" s="33"/>
      <c r="L847" s="36">
        <v>1000</v>
      </c>
      <c r="M847" s="33"/>
      <c r="N847" s="36">
        <v>1318000</v>
      </c>
      <c r="O847" s="33"/>
      <c r="P847" s="36">
        <v>-84000</v>
      </c>
      <c r="Q847" s="33"/>
      <c r="R847" s="36">
        <v>81000</v>
      </c>
      <c r="S847" s="29">
        <f t="shared" si="35"/>
        <v>0</v>
      </c>
    </row>
    <row r="848" spans="3:19" x14ac:dyDescent="0.25">
      <c r="C848" s="30"/>
      <c r="D848" s="30"/>
      <c r="E848" s="34"/>
      <c r="G848" s="7"/>
      <c r="H848" s="33"/>
      <c r="I848" s="33"/>
      <c r="J848" s="33"/>
      <c r="K848" s="33"/>
      <c r="L848" s="33"/>
      <c r="M848" s="33"/>
      <c r="N848" s="33"/>
      <c r="O848" s="33"/>
      <c r="P848" s="33"/>
      <c r="Q848" s="45"/>
      <c r="R848" s="33"/>
      <c r="S848" s="29">
        <f t="shared" si="35"/>
        <v>0</v>
      </c>
    </row>
    <row r="849" spans="1:19" x14ac:dyDescent="0.25">
      <c r="C849" s="30"/>
      <c r="D849" s="30"/>
      <c r="E849" s="30" t="s">
        <v>56</v>
      </c>
      <c r="F849" s="58">
        <f>SUM(H849:L849)</f>
        <v>26497000</v>
      </c>
      <c r="G849" s="7"/>
      <c r="H849" s="36">
        <f>SUM(H842:H848)</f>
        <v>14748000</v>
      </c>
      <c r="I849" s="33"/>
      <c r="J849" s="36">
        <f>SUM(J842:J848)</f>
        <v>11487000</v>
      </c>
      <c r="K849" s="33"/>
      <c r="L849" s="36">
        <f>SUM(L842:L848)</f>
        <v>262000</v>
      </c>
      <c r="M849" s="33"/>
      <c r="N849" s="36">
        <f>SUM(N842:N848)</f>
        <v>12163000</v>
      </c>
      <c r="O849" s="33"/>
      <c r="P849" s="36">
        <f>SUM(P842:P848)</f>
        <v>17193000</v>
      </c>
      <c r="Q849" s="45"/>
      <c r="R849" s="36">
        <f>SUM(R842:R848)</f>
        <v>2859000</v>
      </c>
      <c r="S849" s="29">
        <f t="shared" si="35"/>
        <v>0</v>
      </c>
    </row>
    <row r="850" spans="1:19" x14ac:dyDescent="0.25">
      <c r="C850" s="30"/>
      <c r="D850" s="30"/>
      <c r="E850" s="34"/>
      <c r="G850" s="7"/>
      <c r="H850" s="33"/>
      <c r="I850" s="33"/>
      <c r="J850" s="33"/>
      <c r="K850" s="33"/>
      <c r="L850" s="33"/>
      <c r="M850" s="33"/>
      <c r="N850" s="33"/>
      <c r="O850" s="33"/>
      <c r="P850" s="33"/>
      <c r="Q850" s="45"/>
      <c r="R850" s="33"/>
      <c r="S850" s="29">
        <f t="shared" si="35"/>
        <v>0</v>
      </c>
    </row>
    <row r="851" spans="1:19" x14ac:dyDescent="0.25">
      <c r="C851" s="30" t="s">
        <v>402</v>
      </c>
      <c r="D851" s="30"/>
      <c r="E851" s="34"/>
      <c r="G851" s="7"/>
      <c r="H851" s="33"/>
      <c r="I851" s="33"/>
      <c r="J851" s="33"/>
      <c r="K851" s="33"/>
      <c r="L851" s="33"/>
      <c r="M851" s="33"/>
      <c r="N851" s="33"/>
      <c r="O851" s="33"/>
      <c r="P851" s="33"/>
      <c r="Q851" s="45"/>
      <c r="R851" s="33"/>
      <c r="S851" s="29">
        <f t="shared" si="35"/>
        <v>0</v>
      </c>
    </row>
    <row r="852" spans="1:19" x14ac:dyDescent="0.25">
      <c r="C852" s="30"/>
      <c r="D852" s="30" t="s">
        <v>403</v>
      </c>
      <c r="E852" s="34"/>
      <c r="G852" s="7"/>
      <c r="H852" s="33"/>
      <c r="I852" s="33"/>
      <c r="J852" s="33"/>
      <c r="K852" s="33"/>
      <c r="L852" s="33"/>
      <c r="M852" s="33"/>
      <c r="N852" s="33"/>
      <c r="O852" s="33"/>
      <c r="P852" s="33"/>
      <c r="Q852" s="45"/>
      <c r="R852" s="33"/>
      <c r="S852" s="29">
        <f t="shared" si="35"/>
        <v>0</v>
      </c>
    </row>
    <row r="853" spans="1:19" x14ac:dyDescent="0.25">
      <c r="A853" s="29"/>
      <c r="B853" s="29"/>
      <c r="C853" s="29"/>
      <c r="D853" s="29"/>
      <c r="E853" s="34" t="s">
        <v>404</v>
      </c>
      <c r="F853" s="58">
        <f>SUM(H853:L853)</f>
        <v>2558000</v>
      </c>
      <c r="G853" s="7"/>
      <c r="H853" s="36">
        <v>1610000</v>
      </c>
      <c r="I853" s="33"/>
      <c r="J853" s="36">
        <v>945000</v>
      </c>
      <c r="K853" s="33"/>
      <c r="L853" s="36">
        <v>3000</v>
      </c>
      <c r="M853" s="33"/>
      <c r="N853" s="36">
        <v>2845000</v>
      </c>
      <c r="O853" s="33"/>
      <c r="P853" s="36">
        <v>687000</v>
      </c>
      <c r="Q853" s="33"/>
      <c r="R853" s="36">
        <v>974000</v>
      </c>
      <c r="S853" s="29">
        <f t="shared" si="35"/>
        <v>0</v>
      </c>
    </row>
    <row r="854" spans="1:19" x14ac:dyDescent="0.25">
      <c r="A854" s="29"/>
      <c r="B854" s="29"/>
      <c r="C854" s="29"/>
      <c r="D854" s="29"/>
      <c r="E854" s="34"/>
      <c r="G854" s="7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29">
        <f t="shared" si="35"/>
        <v>0</v>
      </c>
    </row>
    <row r="855" spans="1:19" x14ac:dyDescent="0.25">
      <c r="C855" s="30" t="s">
        <v>405</v>
      </c>
      <c r="D855" s="30"/>
      <c r="E855" s="34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29">
        <f t="shared" si="35"/>
        <v>0</v>
      </c>
    </row>
    <row r="856" spans="1:19" x14ac:dyDescent="0.25">
      <c r="C856" s="30"/>
      <c r="D856" s="30"/>
      <c r="E856" s="34" t="s">
        <v>406</v>
      </c>
      <c r="F856" s="18">
        <f>SUM(H856:L856)</f>
        <v>5990000</v>
      </c>
      <c r="G856" s="35"/>
      <c r="H856" s="33">
        <v>5196000</v>
      </c>
      <c r="I856" s="57"/>
      <c r="J856" s="33">
        <v>793000</v>
      </c>
      <c r="K856" s="57"/>
      <c r="L856" s="33">
        <v>1000</v>
      </c>
      <c r="M856" s="57"/>
      <c r="N856" s="33">
        <v>3887000</v>
      </c>
      <c r="O856" s="57"/>
      <c r="P856" s="33">
        <v>2103000</v>
      </c>
      <c r="Q856" s="57"/>
      <c r="R856" s="33">
        <v>0</v>
      </c>
      <c r="S856" s="29">
        <f t="shared" si="35"/>
        <v>0</v>
      </c>
    </row>
    <row r="857" spans="1:19" x14ac:dyDescent="0.25">
      <c r="C857" s="30"/>
      <c r="D857" s="30"/>
      <c r="E857" s="34" t="s">
        <v>407</v>
      </c>
      <c r="F857" s="58">
        <f>SUM(H857:L857)</f>
        <v>330000</v>
      </c>
      <c r="G857" s="7"/>
      <c r="H857" s="36">
        <f>201000+1000</f>
        <v>202000</v>
      </c>
      <c r="I857" s="33"/>
      <c r="J857" s="36">
        <v>23000</v>
      </c>
      <c r="K857" s="33"/>
      <c r="L857" s="36">
        <v>105000</v>
      </c>
      <c r="M857" s="33"/>
      <c r="N857" s="36">
        <v>210000</v>
      </c>
      <c r="O857" s="33"/>
      <c r="P857" s="36">
        <v>124000</v>
      </c>
      <c r="Q857" s="33"/>
      <c r="R857" s="36">
        <v>4000</v>
      </c>
      <c r="S857" s="29">
        <f t="shared" si="35"/>
        <v>0</v>
      </c>
    </row>
    <row r="858" spans="1:19" x14ac:dyDescent="0.25">
      <c r="C858" s="29"/>
      <c r="D858" s="30"/>
      <c r="E858" s="34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29">
        <f t="shared" si="35"/>
        <v>0</v>
      </c>
    </row>
    <row r="859" spans="1:19" x14ac:dyDescent="0.25">
      <c r="C859" s="30"/>
      <c r="D859" s="30"/>
      <c r="E859" s="30" t="s">
        <v>56</v>
      </c>
      <c r="F859" s="58">
        <f>SUM(H859:L859)</f>
        <v>6320000</v>
      </c>
      <c r="G859" s="7"/>
      <c r="H859" s="36">
        <f>SUM(H856:H858)</f>
        <v>5398000</v>
      </c>
      <c r="I859" s="7"/>
      <c r="J859" s="36">
        <f>SUM(J856:J858)</f>
        <v>816000</v>
      </c>
      <c r="K859" s="7"/>
      <c r="L859" s="36">
        <f>SUM(L856:L858)</f>
        <v>106000</v>
      </c>
      <c r="M859" s="7"/>
      <c r="N859" s="36">
        <f>SUM(N856:N858)</f>
        <v>4097000</v>
      </c>
      <c r="O859" s="7"/>
      <c r="P859" s="36">
        <f>SUM(P856:P858)</f>
        <v>2227000</v>
      </c>
      <c r="Q859" s="7"/>
      <c r="R859" s="36">
        <f>SUM(R856:R858)</f>
        <v>4000</v>
      </c>
      <c r="S859" s="29">
        <f t="shared" si="35"/>
        <v>0</v>
      </c>
    </row>
    <row r="860" spans="1:19" x14ac:dyDescent="0.25"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29">
        <f t="shared" si="35"/>
        <v>0</v>
      </c>
    </row>
    <row r="861" spans="1:19" x14ac:dyDescent="0.25">
      <c r="B861" s="22"/>
      <c r="C861" s="38" t="s">
        <v>408</v>
      </c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29">
        <f t="shared" si="35"/>
        <v>0</v>
      </c>
    </row>
    <row r="862" spans="1:19" x14ac:dyDescent="0.25">
      <c r="C862" s="30"/>
      <c r="D862" s="30"/>
      <c r="E862" s="30" t="s">
        <v>409</v>
      </c>
      <c r="F862" s="18">
        <f>SUM(H862:L862)</f>
        <v>2217000</v>
      </c>
      <c r="G862" s="35"/>
      <c r="H862" s="33">
        <v>1029000</v>
      </c>
      <c r="I862" s="57"/>
      <c r="J862" s="33">
        <v>1099000</v>
      </c>
      <c r="K862" s="57"/>
      <c r="L862" s="33">
        <v>89000</v>
      </c>
      <c r="M862" s="57"/>
      <c r="N862" s="33">
        <v>1233000</v>
      </c>
      <c r="O862" s="57"/>
      <c r="P862" s="33">
        <v>984000</v>
      </c>
      <c r="Q862" s="57"/>
      <c r="R862" s="33">
        <v>0</v>
      </c>
      <c r="S862" s="29">
        <f>+F862-N862-P862+R862</f>
        <v>0</v>
      </c>
    </row>
    <row r="863" spans="1:19" x14ac:dyDescent="0.25">
      <c r="C863" s="29"/>
      <c r="D863" s="29"/>
      <c r="E863" s="30" t="s">
        <v>480</v>
      </c>
      <c r="F863" s="18">
        <f>SUM(H863:L863)</f>
        <v>13841000</v>
      </c>
      <c r="G863" s="35"/>
      <c r="H863" s="33">
        <v>63000</v>
      </c>
      <c r="I863" s="57"/>
      <c r="J863" s="33">
        <v>13774000</v>
      </c>
      <c r="K863" s="57"/>
      <c r="L863" s="33">
        <v>4000</v>
      </c>
      <c r="M863" s="57"/>
      <c r="N863" s="33">
        <v>4827000</v>
      </c>
      <c r="O863" s="57"/>
      <c r="P863" s="33">
        <v>9015000</v>
      </c>
      <c r="Q863" s="57"/>
      <c r="R863" s="33">
        <v>1000</v>
      </c>
      <c r="S863" s="29">
        <f t="shared" si="35"/>
        <v>0</v>
      </c>
    </row>
    <row r="864" spans="1:19" x14ac:dyDescent="0.25">
      <c r="C864" s="29"/>
      <c r="D864" s="29"/>
      <c r="E864" s="30" t="s">
        <v>481</v>
      </c>
      <c r="F864" s="18">
        <f>SUM(H864:L864)</f>
        <v>43926000</v>
      </c>
      <c r="G864" s="35"/>
      <c r="H864" s="33">
        <v>0</v>
      </c>
      <c r="I864" s="57"/>
      <c r="J864" s="33">
        <v>43906000</v>
      </c>
      <c r="K864" s="57"/>
      <c r="L864" s="33">
        <v>20000</v>
      </c>
      <c r="M864" s="57"/>
      <c r="N864" s="33">
        <v>28749000</v>
      </c>
      <c r="O864" s="57"/>
      <c r="P864" s="33">
        <v>15177000</v>
      </c>
      <c r="Q864" s="57"/>
      <c r="R864" s="33">
        <v>0</v>
      </c>
      <c r="S864" s="29">
        <f t="shared" si="35"/>
        <v>0</v>
      </c>
    </row>
    <row r="865" spans="3:19" x14ac:dyDescent="0.25">
      <c r="C865" s="29"/>
      <c r="D865" s="29"/>
      <c r="E865" s="30" t="s">
        <v>205</v>
      </c>
      <c r="F865" s="58">
        <f>SUM(H865:L865)</f>
        <v>10478000</v>
      </c>
      <c r="G865" s="7"/>
      <c r="H865" s="36">
        <f>61026000+1000</f>
        <v>61027000</v>
      </c>
      <c r="I865" s="33"/>
      <c r="J865" s="36">
        <f>-50797000-1000</f>
        <v>-50798000</v>
      </c>
      <c r="K865" s="33"/>
      <c r="L865" s="36">
        <v>249000</v>
      </c>
      <c r="M865" s="33"/>
      <c r="N865" s="36">
        <f>12456000+2000</f>
        <v>12458000</v>
      </c>
      <c r="O865" s="33"/>
      <c r="P865" s="36">
        <v>-441000</v>
      </c>
      <c r="Q865" s="33"/>
      <c r="R865" s="36">
        <f>1537000+2000</f>
        <v>1539000</v>
      </c>
      <c r="S865" s="29">
        <f t="shared" si="35"/>
        <v>0</v>
      </c>
    </row>
    <row r="866" spans="3:19" x14ac:dyDescent="0.25"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29">
        <f t="shared" si="35"/>
        <v>0</v>
      </c>
    </row>
    <row r="867" spans="3:19" x14ac:dyDescent="0.25">
      <c r="E867" s="30" t="s">
        <v>56</v>
      </c>
      <c r="F867" s="58">
        <f>SUM(H867:L867)</f>
        <v>70462000</v>
      </c>
      <c r="G867" s="7"/>
      <c r="H867" s="58">
        <f>SUM(H862:H865)</f>
        <v>62119000</v>
      </c>
      <c r="I867" s="18"/>
      <c r="J867" s="58">
        <f>SUM(J862:J865)</f>
        <v>7981000</v>
      </c>
      <c r="K867" s="18"/>
      <c r="L867" s="58">
        <f>SUM(L862:L865)</f>
        <v>362000</v>
      </c>
      <c r="M867" s="18"/>
      <c r="N867" s="58">
        <f>SUM(N862:N865)</f>
        <v>47267000</v>
      </c>
      <c r="O867" s="18"/>
      <c r="P867" s="58">
        <f>SUM(P862:P865)</f>
        <v>24735000</v>
      </c>
      <c r="Q867" s="18"/>
      <c r="R867" s="58">
        <f>SUM(R862:R865)</f>
        <v>1540000</v>
      </c>
      <c r="S867" s="29">
        <f t="shared" si="35"/>
        <v>0</v>
      </c>
    </row>
    <row r="868" spans="3:19" x14ac:dyDescent="0.25">
      <c r="C868" s="29"/>
      <c r="D868" s="30"/>
      <c r="E868" s="29"/>
      <c r="G868" s="7"/>
      <c r="H868" s="33"/>
      <c r="I868" s="33"/>
      <c r="J868" s="33"/>
      <c r="K868" s="33"/>
      <c r="L868" s="33"/>
      <c r="M868" s="33"/>
      <c r="N868" s="33"/>
      <c r="O868" s="33"/>
      <c r="P868" s="33"/>
      <c r="Q868" s="45"/>
      <c r="R868" s="33"/>
      <c r="S868" s="29">
        <f t="shared" si="35"/>
        <v>0</v>
      </c>
    </row>
    <row r="869" spans="3:19" x14ac:dyDescent="0.25">
      <c r="C869" s="30" t="s">
        <v>410</v>
      </c>
      <c r="D869" s="30"/>
      <c r="E869" s="34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29">
        <f t="shared" si="35"/>
        <v>0</v>
      </c>
    </row>
    <row r="870" spans="3:19" x14ac:dyDescent="0.25">
      <c r="E870" s="30" t="s">
        <v>411</v>
      </c>
      <c r="F870" s="58">
        <f>SUM(H870:L870)</f>
        <v>50000</v>
      </c>
      <c r="G870" s="7"/>
      <c r="H870" s="36">
        <v>0</v>
      </c>
      <c r="I870" s="33"/>
      <c r="J870" s="36">
        <v>50000</v>
      </c>
      <c r="K870" s="33"/>
      <c r="L870" s="36">
        <v>0</v>
      </c>
      <c r="M870" s="33"/>
      <c r="N870" s="36">
        <v>580000</v>
      </c>
      <c r="O870" s="33"/>
      <c r="P870" s="36">
        <v>515000</v>
      </c>
      <c r="Q870" s="33"/>
      <c r="R870" s="36">
        <v>1045000</v>
      </c>
      <c r="S870" s="29">
        <f t="shared" si="35"/>
        <v>0</v>
      </c>
    </row>
    <row r="871" spans="3:19" x14ac:dyDescent="0.25"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29">
        <f t="shared" si="35"/>
        <v>0</v>
      </c>
    </row>
    <row r="872" spans="3:19" x14ac:dyDescent="0.25">
      <c r="E872" s="30" t="s">
        <v>56</v>
      </c>
      <c r="F872" s="58">
        <f>SUM(H872:L872)</f>
        <v>50000</v>
      </c>
      <c r="G872" s="7"/>
      <c r="H872" s="58">
        <f>SUM(H870:H871)</f>
        <v>0</v>
      </c>
      <c r="I872" s="18"/>
      <c r="J872" s="58">
        <f>SUM(J870:J871)</f>
        <v>50000</v>
      </c>
      <c r="K872" s="18"/>
      <c r="L872" s="58">
        <f>SUM(L870:L871)</f>
        <v>0</v>
      </c>
      <c r="M872" s="18"/>
      <c r="N872" s="58">
        <f>SUM(N870:N871)</f>
        <v>580000</v>
      </c>
      <c r="O872" s="18"/>
      <c r="P872" s="58">
        <f>SUM(P870:P871)</f>
        <v>515000</v>
      </c>
      <c r="Q872" s="18"/>
      <c r="R872" s="58">
        <f>SUM(R870:R871)</f>
        <v>1045000</v>
      </c>
      <c r="S872" s="29">
        <f t="shared" si="35"/>
        <v>0</v>
      </c>
    </row>
    <row r="873" spans="3:19" x14ac:dyDescent="0.25"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29">
        <f t="shared" si="35"/>
        <v>0</v>
      </c>
    </row>
    <row r="874" spans="3:19" x14ac:dyDescent="0.25">
      <c r="C874" s="30" t="s">
        <v>412</v>
      </c>
      <c r="D874" s="30"/>
      <c r="E874" s="34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29">
        <f t="shared" si="35"/>
        <v>0</v>
      </c>
    </row>
    <row r="875" spans="3:19" x14ac:dyDescent="0.25">
      <c r="E875" s="30" t="s">
        <v>413</v>
      </c>
      <c r="F875" s="18">
        <f>SUM(H875:L875)</f>
        <v>-149000</v>
      </c>
      <c r="G875" s="35"/>
      <c r="H875" s="33">
        <v>0</v>
      </c>
      <c r="I875" s="57"/>
      <c r="J875" s="33">
        <v>-149000</v>
      </c>
      <c r="K875" s="57"/>
      <c r="L875" s="33">
        <v>0</v>
      </c>
      <c r="M875" s="57"/>
      <c r="N875" s="33">
        <v>98000</v>
      </c>
      <c r="O875" s="57"/>
      <c r="P875" s="33">
        <v>937000</v>
      </c>
      <c r="Q875" s="57"/>
      <c r="R875" s="33">
        <f>1183000+1000</f>
        <v>1184000</v>
      </c>
      <c r="S875" s="29">
        <f t="shared" si="35"/>
        <v>0</v>
      </c>
    </row>
    <row r="876" spans="3:19" x14ac:dyDescent="0.25">
      <c r="E876" s="30" t="s">
        <v>414</v>
      </c>
      <c r="F876" s="58">
        <f>SUM(H876:L876)</f>
        <v>4123000</v>
      </c>
      <c r="G876" s="7"/>
      <c r="H876" s="36">
        <v>0</v>
      </c>
      <c r="I876" s="33"/>
      <c r="J876" s="36">
        <v>4123000</v>
      </c>
      <c r="K876" s="33"/>
      <c r="L876" s="36">
        <v>0</v>
      </c>
      <c r="M876" s="33"/>
      <c r="N876" s="36">
        <v>1383000</v>
      </c>
      <c r="O876" s="33"/>
      <c r="P876" s="36">
        <v>2755000</v>
      </c>
      <c r="Q876" s="33"/>
      <c r="R876" s="36">
        <v>15000</v>
      </c>
      <c r="S876" s="29">
        <f t="shared" si="35"/>
        <v>0</v>
      </c>
    </row>
    <row r="877" spans="3:19" x14ac:dyDescent="0.25">
      <c r="G877" s="7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29">
        <f t="shared" si="35"/>
        <v>0</v>
      </c>
    </row>
    <row r="878" spans="3:19" x14ac:dyDescent="0.25">
      <c r="E878" s="30" t="s">
        <v>2</v>
      </c>
      <c r="F878" s="58">
        <f>SUM(H878:L878)</f>
        <v>3974000</v>
      </c>
      <c r="G878" s="7"/>
      <c r="H878" s="58">
        <f>SUM(H875:H877)</f>
        <v>0</v>
      </c>
      <c r="I878" s="18"/>
      <c r="J878" s="58">
        <f>SUM(J875:J877)</f>
        <v>3974000</v>
      </c>
      <c r="K878" s="18"/>
      <c r="L878" s="58">
        <f>SUM(L875:L877)</f>
        <v>0</v>
      </c>
      <c r="M878" s="18"/>
      <c r="N878" s="58">
        <f>SUM(N875:N877)</f>
        <v>1481000</v>
      </c>
      <c r="O878" s="18"/>
      <c r="P878" s="58">
        <f>SUM(P875:P877)</f>
        <v>3692000</v>
      </c>
      <c r="Q878" s="18"/>
      <c r="R878" s="58">
        <f>SUM(R875:R877)</f>
        <v>1199000</v>
      </c>
      <c r="S878" s="29">
        <f t="shared" si="35"/>
        <v>0</v>
      </c>
    </row>
    <row r="879" spans="3:19" x14ac:dyDescent="0.25">
      <c r="C879" s="29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29">
        <f t="shared" si="35"/>
        <v>0</v>
      </c>
    </row>
    <row r="880" spans="3:19" x14ac:dyDescent="0.25">
      <c r="C880" s="38" t="s">
        <v>415</v>
      </c>
      <c r="F880" s="58">
        <f>SUM(H880:L880)</f>
        <v>368000</v>
      </c>
      <c r="G880" s="7"/>
      <c r="H880" s="36">
        <v>382000</v>
      </c>
      <c r="I880" s="33"/>
      <c r="J880" s="36">
        <v>-14000</v>
      </c>
      <c r="K880" s="33"/>
      <c r="L880" s="36">
        <v>0</v>
      </c>
      <c r="M880" s="33"/>
      <c r="N880" s="36">
        <v>403000</v>
      </c>
      <c r="O880" s="33"/>
      <c r="P880" s="36">
        <v>1198000</v>
      </c>
      <c r="Q880" s="33"/>
      <c r="R880" s="36">
        <v>1233000</v>
      </c>
      <c r="S880" s="29">
        <f t="shared" si="35"/>
        <v>0</v>
      </c>
    </row>
    <row r="881" spans="1:19" x14ac:dyDescent="0.25">
      <c r="C881" s="29"/>
      <c r="G881" s="7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29">
        <f t="shared" si="35"/>
        <v>0</v>
      </c>
    </row>
    <row r="882" spans="1:19" x14ac:dyDescent="0.25">
      <c r="C882" s="38" t="s">
        <v>416</v>
      </c>
      <c r="D882" s="30"/>
      <c r="E882" s="34"/>
      <c r="G882" s="7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29">
        <f t="shared" si="35"/>
        <v>0</v>
      </c>
    </row>
    <row r="883" spans="1:19" x14ac:dyDescent="0.25">
      <c r="E883" s="30" t="s">
        <v>417</v>
      </c>
      <c r="F883" s="18">
        <f>SUM(H883:L883)</f>
        <v>2702000</v>
      </c>
      <c r="G883" s="35"/>
      <c r="H883" s="33">
        <v>1409000</v>
      </c>
      <c r="I883" s="57"/>
      <c r="J883" s="33">
        <v>1293000</v>
      </c>
      <c r="K883" s="57"/>
      <c r="L883" s="33">
        <v>0</v>
      </c>
      <c r="M883" s="57"/>
      <c r="N883" s="33">
        <v>1497000</v>
      </c>
      <c r="O883" s="57"/>
      <c r="P883" s="33">
        <v>1205000</v>
      </c>
      <c r="Q883" s="57"/>
      <c r="R883" s="33">
        <v>0</v>
      </c>
      <c r="S883" s="29">
        <f t="shared" si="35"/>
        <v>0</v>
      </c>
    </row>
    <row r="884" spans="1:19" x14ac:dyDescent="0.25">
      <c r="E884" s="30" t="s">
        <v>418</v>
      </c>
      <c r="F884" s="18">
        <f>SUM(H884:L884)</f>
        <v>946000</v>
      </c>
      <c r="G884" s="35"/>
      <c r="H884" s="33">
        <v>1020000</v>
      </c>
      <c r="I884" s="57"/>
      <c r="J884" s="33">
        <v>-76000</v>
      </c>
      <c r="K884" s="57"/>
      <c r="L884" s="33">
        <v>2000</v>
      </c>
      <c r="M884" s="57"/>
      <c r="N884" s="33">
        <v>1287000</v>
      </c>
      <c r="O884" s="57"/>
      <c r="P884" s="33">
        <v>-341000</v>
      </c>
      <c r="Q884" s="57"/>
      <c r="R884" s="33">
        <v>0</v>
      </c>
      <c r="S884" s="29">
        <f t="shared" si="35"/>
        <v>0</v>
      </c>
    </row>
    <row r="885" spans="1:19" x14ac:dyDescent="0.25">
      <c r="E885" s="30" t="s">
        <v>419</v>
      </c>
      <c r="F885" s="18">
        <f>SUM(H885:L885)</f>
        <v>793000</v>
      </c>
      <c r="G885" s="35"/>
      <c r="H885" s="33">
        <v>557000</v>
      </c>
      <c r="I885" s="57"/>
      <c r="J885" s="33">
        <f>235000+1000</f>
        <v>236000</v>
      </c>
      <c r="K885" s="57"/>
      <c r="L885" s="33">
        <v>0</v>
      </c>
      <c r="M885" s="57"/>
      <c r="N885" s="33">
        <v>788000</v>
      </c>
      <c r="O885" s="57"/>
      <c r="P885" s="33">
        <v>1651000</v>
      </c>
      <c r="Q885" s="57"/>
      <c r="R885" s="33">
        <v>1646000</v>
      </c>
      <c r="S885" s="29">
        <f t="shared" si="35"/>
        <v>0</v>
      </c>
    </row>
    <row r="886" spans="1:19" x14ac:dyDescent="0.25">
      <c r="E886" s="30" t="s">
        <v>420</v>
      </c>
      <c r="F886" s="58">
        <f>SUM(H886:L886)</f>
        <v>792000</v>
      </c>
      <c r="G886" s="7"/>
      <c r="H886" s="36">
        <v>0</v>
      </c>
      <c r="I886" s="33"/>
      <c r="J886" s="36">
        <v>792000</v>
      </c>
      <c r="K886" s="33"/>
      <c r="L886" s="36">
        <v>0</v>
      </c>
      <c r="M886" s="33"/>
      <c r="N886" s="36">
        <v>517000</v>
      </c>
      <c r="O886" s="33"/>
      <c r="P886" s="36">
        <v>634000</v>
      </c>
      <c r="Q886" s="33"/>
      <c r="R886" s="36">
        <v>359000</v>
      </c>
      <c r="S886" s="29">
        <f t="shared" si="35"/>
        <v>0</v>
      </c>
    </row>
    <row r="887" spans="1:19" x14ac:dyDescent="0.25">
      <c r="B887" s="46"/>
      <c r="C887" s="46"/>
      <c r="D887" s="46"/>
      <c r="E887" s="46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29">
        <f t="shared" si="35"/>
        <v>0</v>
      </c>
    </row>
    <row r="888" spans="1:19" x14ac:dyDescent="0.25">
      <c r="E888" s="30" t="s">
        <v>2</v>
      </c>
      <c r="F888" s="58">
        <f>SUM(H888:L888)</f>
        <v>5233000</v>
      </c>
      <c r="G888" s="7"/>
      <c r="H888" s="58">
        <f>SUM(H883:H887)</f>
        <v>2986000</v>
      </c>
      <c r="I888" s="18"/>
      <c r="J888" s="58">
        <f>SUM(J883:J887)</f>
        <v>2245000</v>
      </c>
      <c r="K888" s="18"/>
      <c r="L888" s="58">
        <f>SUM(L883:L887)</f>
        <v>2000</v>
      </c>
      <c r="M888" s="18"/>
      <c r="N888" s="58">
        <f>SUM(N883:N887)</f>
        <v>4089000</v>
      </c>
      <c r="O888" s="18"/>
      <c r="P888" s="58">
        <f>SUM(P883:P887)</f>
        <v>3149000</v>
      </c>
      <c r="Q888" s="18"/>
      <c r="R888" s="58">
        <f>SUM(R883:R887)</f>
        <v>2005000</v>
      </c>
      <c r="S888" s="29">
        <f t="shared" si="35"/>
        <v>0</v>
      </c>
    </row>
    <row r="889" spans="1:19" x14ac:dyDescent="0.25">
      <c r="A889" s="46"/>
      <c r="B889" s="46"/>
      <c r="C889" s="46"/>
      <c r="D889" s="46"/>
      <c r="E889" s="46"/>
      <c r="F889" s="49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29">
        <f t="shared" si="35"/>
        <v>0</v>
      </c>
    </row>
    <row r="890" spans="1:19" x14ac:dyDescent="0.25">
      <c r="C890" s="30" t="s">
        <v>421</v>
      </c>
      <c r="D890" s="30"/>
      <c r="E890" s="34"/>
      <c r="F890" s="58">
        <f>SUM(H890:L890)</f>
        <v>15759000</v>
      </c>
      <c r="G890" s="7"/>
      <c r="H890" s="36">
        <v>11601000</v>
      </c>
      <c r="I890" s="33"/>
      <c r="J890" s="36">
        <v>4157000</v>
      </c>
      <c r="K890" s="33"/>
      <c r="L890" s="36">
        <v>1000</v>
      </c>
      <c r="M890" s="33"/>
      <c r="N890" s="36">
        <f>13114000-2000</f>
        <v>13112000</v>
      </c>
      <c r="O890" s="33"/>
      <c r="P890" s="36">
        <v>7579000</v>
      </c>
      <c r="Q890" s="33"/>
      <c r="R890" s="36">
        <f>4934000-2000</f>
        <v>4932000</v>
      </c>
      <c r="S890" s="29">
        <f t="shared" si="35"/>
        <v>0</v>
      </c>
    </row>
    <row r="891" spans="1:19" x14ac:dyDescent="0.25">
      <c r="C891" s="29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29">
        <f t="shared" si="35"/>
        <v>0</v>
      </c>
    </row>
    <row r="892" spans="1:19" x14ac:dyDescent="0.25">
      <c r="C892" s="38" t="s">
        <v>422</v>
      </c>
      <c r="D892" s="30"/>
      <c r="E892" s="34"/>
      <c r="F892" s="58">
        <f>SUM(H892:L892)</f>
        <v>-177000</v>
      </c>
      <c r="G892" s="7"/>
      <c r="H892" s="36">
        <v>25000</v>
      </c>
      <c r="I892" s="33"/>
      <c r="J892" s="36">
        <v>-202000</v>
      </c>
      <c r="K892" s="33"/>
      <c r="L892" s="36">
        <v>0</v>
      </c>
      <c r="M892" s="33"/>
      <c r="N892" s="36">
        <v>1293000</v>
      </c>
      <c r="O892" s="33"/>
      <c r="P892" s="36">
        <v>6539000</v>
      </c>
      <c r="Q892" s="33"/>
      <c r="R892" s="36">
        <v>8009000</v>
      </c>
      <c r="S892" s="29">
        <f t="shared" si="35"/>
        <v>0</v>
      </c>
    </row>
    <row r="893" spans="1:19" x14ac:dyDescent="0.25"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29">
        <f t="shared" ref="S893:S950" si="36">+F893-N893-P893+R893</f>
        <v>0</v>
      </c>
    </row>
    <row r="894" spans="1:19" x14ac:dyDescent="0.25">
      <c r="C894" s="46" t="s">
        <v>423</v>
      </c>
      <c r="D894" s="30"/>
      <c r="E894" s="53"/>
      <c r="F894" s="58">
        <f>SUM(H894:L894)</f>
        <v>30677000</v>
      </c>
      <c r="G894" s="7"/>
      <c r="H894" s="36">
        <v>0</v>
      </c>
      <c r="I894" s="33"/>
      <c r="J894" s="36">
        <v>30331000</v>
      </c>
      <c r="K894" s="33"/>
      <c r="L894" s="36">
        <v>346000</v>
      </c>
      <c r="M894" s="33"/>
      <c r="N894" s="36">
        <v>16487000</v>
      </c>
      <c r="O894" s="33"/>
      <c r="P894" s="36">
        <f>14191000-1000</f>
        <v>14190000</v>
      </c>
      <c r="Q894" s="33"/>
      <c r="R894" s="36">
        <v>0</v>
      </c>
      <c r="S894" s="29">
        <f t="shared" si="36"/>
        <v>0</v>
      </c>
    </row>
    <row r="895" spans="1:19" x14ac:dyDescent="0.25">
      <c r="C895" s="46"/>
      <c r="D895" s="30"/>
      <c r="E895" s="34"/>
      <c r="F895" s="3"/>
      <c r="G895" s="4"/>
      <c r="H895" s="3"/>
      <c r="I895" s="54"/>
      <c r="J895" s="54"/>
      <c r="K895" s="54"/>
      <c r="L895" s="54"/>
      <c r="M895" s="54"/>
      <c r="N895" s="54"/>
      <c r="O895" s="54"/>
      <c r="P895" s="54"/>
      <c r="Q895" s="55"/>
      <c r="R895" s="54"/>
      <c r="S895" s="29">
        <f t="shared" si="36"/>
        <v>0</v>
      </c>
    </row>
    <row r="896" spans="1:19" x14ac:dyDescent="0.25">
      <c r="C896" s="30" t="s">
        <v>424</v>
      </c>
      <c r="D896" s="30"/>
      <c r="E896" s="34"/>
      <c r="G896" s="7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29">
        <f t="shared" si="36"/>
        <v>0</v>
      </c>
    </row>
    <row r="897" spans="1:19" x14ac:dyDescent="0.25">
      <c r="C897" s="30"/>
      <c r="D897" s="30"/>
      <c r="E897" s="34" t="s">
        <v>425</v>
      </c>
      <c r="F897" s="18">
        <f>SUM(H897:L897)</f>
        <v>2229000</v>
      </c>
      <c r="G897" s="35"/>
      <c r="H897" s="33">
        <v>733000</v>
      </c>
      <c r="I897" s="57"/>
      <c r="J897" s="33">
        <v>1496000</v>
      </c>
      <c r="K897" s="57"/>
      <c r="L897" s="33">
        <v>0</v>
      </c>
      <c r="M897" s="57"/>
      <c r="N897" s="33">
        <v>1112000</v>
      </c>
      <c r="O897" s="57"/>
      <c r="P897" s="33">
        <v>1117000</v>
      </c>
      <c r="Q897" s="57"/>
      <c r="R897" s="33">
        <v>0</v>
      </c>
      <c r="S897" s="29">
        <f t="shared" si="36"/>
        <v>0</v>
      </c>
    </row>
    <row r="898" spans="1:19" x14ac:dyDescent="0.25">
      <c r="E898" s="30" t="s">
        <v>426</v>
      </c>
      <c r="F898" s="18">
        <f>SUM(H898:L898)</f>
        <v>1030000</v>
      </c>
      <c r="G898" s="35"/>
      <c r="H898" s="33">
        <v>809000</v>
      </c>
      <c r="I898" s="57"/>
      <c r="J898" s="33">
        <v>221000</v>
      </c>
      <c r="K898" s="57"/>
      <c r="L898" s="33">
        <v>0</v>
      </c>
      <c r="M898" s="57"/>
      <c r="N898" s="33">
        <v>697000</v>
      </c>
      <c r="O898" s="57"/>
      <c r="P898" s="33">
        <v>333000</v>
      </c>
      <c r="Q898" s="57"/>
      <c r="R898" s="33">
        <v>0</v>
      </c>
      <c r="S898" s="29">
        <f t="shared" si="36"/>
        <v>0</v>
      </c>
    </row>
    <row r="899" spans="1:19" x14ac:dyDescent="0.25">
      <c r="E899" s="30" t="s">
        <v>427</v>
      </c>
      <c r="F899" s="18">
        <f>SUM(H899:L899)</f>
        <v>2372000</v>
      </c>
      <c r="G899" s="35"/>
      <c r="H899" s="33">
        <v>1337000</v>
      </c>
      <c r="I899" s="57"/>
      <c r="J899" s="33">
        <v>1028000</v>
      </c>
      <c r="K899" s="57"/>
      <c r="L899" s="33">
        <v>7000</v>
      </c>
      <c r="M899" s="57"/>
      <c r="N899" s="33">
        <v>1358000</v>
      </c>
      <c r="O899" s="57"/>
      <c r="P899" s="33">
        <v>1014000</v>
      </c>
      <c r="Q899" s="57"/>
      <c r="R899" s="33">
        <v>0</v>
      </c>
      <c r="S899" s="29">
        <f t="shared" si="36"/>
        <v>0</v>
      </c>
    </row>
    <row r="900" spans="1:19" x14ac:dyDescent="0.25">
      <c r="C900" s="30"/>
      <c r="D900" s="30"/>
      <c r="E900" s="30" t="s">
        <v>428</v>
      </c>
      <c r="F900" s="58">
        <f>SUM(H900:L900)</f>
        <v>1400000</v>
      </c>
      <c r="G900" s="7"/>
      <c r="H900" s="36">
        <v>1222000</v>
      </c>
      <c r="I900" s="33"/>
      <c r="J900" s="36">
        <v>176000</v>
      </c>
      <c r="K900" s="33"/>
      <c r="L900" s="36">
        <v>2000</v>
      </c>
      <c r="M900" s="33"/>
      <c r="N900" s="36">
        <v>918000</v>
      </c>
      <c r="O900" s="33"/>
      <c r="P900" s="36">
        <v>482000</v>
      </c>
      <c r="Q900" s="33"/>
      <c r="R900" s="36">
        <v>0</v>
      </c>
      <c r="S900" s="29">
        <f t="shared" si="36"/>
        <v>0</v>
      </c>
    </row>
    <row r="901" spans="1:19" x14ac:dyDescent="0.25">
      <c r="E901" s="30" t="s">
        <v>236</v>
      </c>
      <c r="G901" s="7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29">
        <f t="shared" si="36"/>
        <v>0</v>
      </c>
    </row>
    <row r="902" spans="1:19" x14ac:dyDescent="0.25">
      <c r="E902" s="30" t="s">
        <v>2</v>
      </c>
      <c r="F902" s="58">
        <f>SUM(H902:L902)</f>
        <v>7031000</v>
      </c>
      <c r="G902" s="7"/>
      <c r="H902" s="58">
        <f>SUM(H897:H901)</f>
        <v>4101000</v>
      </c>
      <c r="I902" s="18"/>
      <c r="J902" s="58">
        <f>SUM(J897:J901)</f>
        <v>2921000</v>
      </c>
      <c r="K902" s="18"/>
      <c r="L902" s="58">
        <f>SUM(L897:L901)</f>
        <v>9000</v>
      </c>
      <c r="M902" s="58"/>
      <c r="N902" s="58">
        <f>SUM(N897:N901)</f>
        <v>4085000</v>
      </c>
      <c r="O902" s="18"/>
      <c r="P902" s="58">
        <f>SUM(P897:P901)</f>
        <v>2946000</v>
      </c>
      <c r="Q902" s="18"/>
      <c r="R902" s="58">
        <f>SUM(R897:R901)</f>
        <v>0</v>
      </c>
      <c r="S902" s="29">
        <f t="shared" si="36"/>
        <v>0</v>
      </c>
    </row>
    <row r="903" spans="1:19" x14ac:dyDescent="0.25">
      <c r="G903" s="7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29">
        <f t="shared" si="36"/>
        <v>0</v>
      </c>
    </row>
    <row r="904" spans="1:19" x14ac:dyDescent="0.25">
      <c r="A904" s="46"/>
      <c r="B904" s="38" t="s">
        <v>351</v>
      </c>
      <c r="C904" s="46"/>
      <c r="D904" s="46"/>
      <c r="E904" s="46"/>
      <c r="G904" s="7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29">
        <f t="shared" si="36"/>
        <v>0</v>
      </c>
    </row>
    <row r="905" spans="1:19" x14ac:dyDescent="0.25">
      <c r="B905" s="20"/>
      <c r="C905" s="38" t="s">
        <v>352</v>
      </c>
      <c r="F905" s="58">
        <f>SUM(H905:L905)</f>
        <v>1330000</v>
      </c>
      <c r="G905" s="7"/>
      <c r="H905" s="36">
        <v>139000</v>
      </c>
      <c r="I905" s="33"/>
      <c r="J905" s="36">
        <v>1189000</v>
      </c>
      <c r="K905" s="33"/>
      <c r="L905" s="36">
        <f>1000+1000</f>
        <v>2000</v>
      </c>
      <c r="M905" s="33"/>
      <c r="N905" s="36">
        <v>1247000</v>
      </c>
      <c r="O905" s="33"/>
      <c r="P905" s="36">
        <f>82000+1000</f>
        <v>83000</v>
      </c>
      <c r="Q905" s="33"/>
      <c r="R905" s="36">
        <v>0</v>
      </c>
      <c r="S905" s="29">
        <f t="shared" si="36"/>
        <v>0</v>
      </c>
    </row>
    <row r="906" spans="1:19" x14ac:dyDescent="0.25">
      <c r="A906" s="46"/>
      <c r="B906" s="46"/>
      <c r="C906" s="46"/>
      <c r="D906" s="46"/>
      <c r="E906" s="46"/>
      <c r="F906" s="59"/>
      <c r="G906" s="7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29">
        <f t="shared" si="36"/>
        <v>0</v>
      </c>
    </row>
    <row r="907" spans="1:19" x14ac:dyDescent="0.25">
      <c r="A907" s="46"/>
      <c r="B907" s="38" t="s">
        <v>353</v>
      </c>
      <c r="C907" s="46"/>
      <c r="D907" s="46"/>
      <c r="E907" s="46"/>
      <c r="F907" s="49"/>
      <c r="G907" s="7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29">
        <f t="shared" si="36"/>
        <v>0</v>
      </c>
    </row>
    <row r="908" spans="1:19" x14ac:dyDescent="0.25">
      <c r="B908" s="20"/>
      <c r="C908" s="38" t="s">
        <v>354</v>
      </c>
      <c r="F908" s="58">
        <f>SUM(H908:L908)</f>
        <v>0</v>
      </c>
      <c r="G908" s="7"/>
      <c r="H908" s="36">
        <v>-24541000</v>
      </c>
      <c r="I908" s="33"/>
      <c r="J908" s="36">
        <v>24541000</v>
      </c>
      <c r="K908" s="33"/>
      <c r="L908" s="36">
        <v>0</v>
      </c>
      <c r="M908" s="33"/>
      <c r="N908" s="36">
        <v>0</v>
      </c>
      <c r="O908" s="33"/>
      <c r="P908" s="36">
        <v>0</v>
      </c>
      <c r="Q908" s="33"/>
      <c r="R908" s="36">
        <v>0</v>
      </c>
      <c r="S908" s="29">
        <f t="shared" si="36"/>
        <v>0</v>
      </c>
    </row>
    <row r="909" spans="1:19" x14ac:dyDescent="0.25">
      <c r="B909" s="20"/>
      <c r="G909" s="7"/>
      <c r="H909" s="33"/>
      <c r="I909" s="33"/>
      <c r="J909" s="33"/>
      <c r="K909" s="33"/>
      <c r="L909" s="33"/>
      <c r="M909" s="33"/>
      <c r="N909" s="33"/>
      <c r="O909" s="33"/>
      <c r="P909" s="33"/>
      <c r="Q909" s="45"/>
      <c r="R909" s="33"/>
      <c r="S909" s="29">
        <f t="shared" si="36"/>
        <v>0</v>
      </c>
    </row>
    <row r="910" spans="1:19" x14ac:dyDescent="0.25">
      <c r="E910" s="30" t="s">
        <v>429</v>
      </c>
      <c r="F910" s="58">
        <f>SUM(H910:L910)</f>
        <v>238758000</v>
      </c>
      <c r="G910" s="7"/>
      <c r="H910" s="58">
        <f>+H813+H815+H822+H830+H832+H834+H837+H839+H849+H853+H859+H867+H872+H878+H880+H888+H890+H892+H894+H902+H905+H908</f>
        <v>117795000</v>
      </c>
      <c r="I910" s="18"/>
      <c r="J910" s="58">
        <f>+J813+J815+J822+J830+J832+J834+J837+J839+J849+J853+J859+J867+J872+J878+J880+J888+J890+J892+J894+J902+J905+J908</f>
        <v>118861000</v>
      </c>
      <c r="K910" s="18"/>
      <c r="L910" s="58">
        <f>+L813+L815+L822+L830+L832+L834+L837+L839+L849+L853+L859+L867+L872+L878+L880+L888+L890+L892+L894+L902+L905+L908</f>
        <v>2102000</v>
      </c>
      <c r="M910" s="18"/>
      <c r="N910" s="58">
        <f>+N813+N815+N822+N830+N832+N834+N837+N839+N849+N853+N859+N867+N872+N878+N880+N888+N890+N892+N894+N902+N905+N908</f>
        <v>150382000</v>
      </c>
      <c r="O910" s="18"/>
      <c r="P910" s="58">
        <f>+P813+P815+P822+P830+P832+P834+P837+P839+P849+P853+P859+P867+P872+P878+P880+P888+P890+P892+P894+P902+P905+P908</f>
        <v>113905000</v>
      </c>
      <c r="Q910" s="18"/>
      <c r="R910" s="58">
        <f>+R813+R815+R822+R830+R832+R834+R837+R839+R849+R853+R859+R867+R872+R878+R880+R888+R890+R892+R894+R902+R905+R908</f>
        <v>25529000</v>
      </c>
      <c r="S910" s="29">
        <f t="shared" si="36"/>
        <v>0</v>
      </c>
    </row>
    <row r="911" spans="1:19" x14ac:dyDescent="0.25">
      <c r="G911" s="7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29">
        <f t="shared" si="36"/>
        <v>0</v>
      </c>
    </row>
    <row r="912" spans="1:19" x14ac:dyDescent="0.25">
      <c r="A912" s="22" t="s">
        <v>430</v>
      </c>
      <c r="B912" s="46"/>
      <c r="C912" s="46"/>
      <c r="D912" s="46"/>
      <c r="E912" s="46"/>
      <c r="F912" s="49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29">
        <f t="shared" si="36"/>
        <v>0</v>
      </c>
    </row>
    <row r="913" spans="1:19" x14ac:dyDescent="0.25">
      <c r="A913" s="20"/>
      <c r="B913" s="22" t="s">
        <v>431</v>
      </c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29">
        <f t="shared" si="36"/>
        <v>0</v>
      </c>
    </row>
    <row r="914" spans="1:19" x14ac:dyDescent="0.25"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29">
        <f t="shared" si="36"/>
        <v>0</v>
      </c>
    </row>
    <row r="915" spans="1:19" x14ac:dyDescent="0.25">
      <c r="C915" s="30" t="s">
        <v>432</v>
      </c>
      <c r="D915" s="30"/>
      <c r="E915" s="34"/>
      <c r="F915" s="18">
        <f>SUM(H915:L915)</f>
        <v>7538000</v>
      </c>
      <c r="G915" s="35"/>
      <c r="H915" s="33">
        <v>3938000</v>
      </c>
      <c r="I915" s="57"/>
      <c r="J915" s="33">
        <f>3586000+1000</f>
        <v>3587000</v>
      </c>
      <c r="K915" s="57"/>
      <c r="L915" s="33">
        <v>13000</v>
      </c>
      <c r="M915" s="57"/>
      <c r="N915" s="33">
        <v>9750000</v>
      </c>
      <c r="O915" s="57"/>
      <c r="P915" s="33">
        <v>9998000</v>
      </c>
      <c r="Q915" s="57"/>
      <c r="R915" s="33">
        <v>12210000</v>
      </c>
      <c r="S915" s="29">
        <f t="shared" si="36"/>
        <v>0</v>
      </c>
    </row>
    <row r="916" spans="1:19" x14ac:dyDescent="0.25">
      <c r="C916" s="30" t="s">
        <v>433</v>
      </c>
      <c r="D916" s="30"/>
      <c r="E916" s="34"/>
      <c r="G916" s="7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29">
        <f t="shared" si="36"/>
        <v>0</v>
      </c>
    </row>
    <row r="917" spans="1:19" x14ac:dyDescent="0.25">
      <c r="C917" s="29"/>
      <c r="D917" s="30" t="s">
        <v>434</v>
      </c>
      <c r="E917" s="34"/>
      <c r="G917" s="7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29">
        <f t="shared" si="36"/>
        <v>0</v>
      </c>
    </row>
    <row r="918" spans="1:19" x14ac:dyDescent="0.25">
      <c r="C918" s="29"/>
      <c r="D918" s="30"/>
      <c r="E918" s="34" t="s">
        <v>435</v>
      </c>
      <c r="F918" s="18">
        <f t="shared" ref="F918:F928" si="37">SUM(H918:L918)</f>
        <v>695000</v>
      </c>
      <c r="G918" s="35"/>
      <c r="H918" s="33">
        <v>325000</v>
      </c>
      <c r="I918" s="57"/>
      <c r="J918" s="33">
        <v>370000</v>
      </c>
      <c r="K918" s="57"/>
      <c r="L918" s="33">
        <v>0</v>
      </c>
      <c r="M918" s="57"/>
      <c r="N918" s="33">
        <v>116000</v>
      </c>
      <c r="O918" s="57"/>
      <c r="P918" s="33">
        <v>579000</v>
      </c>
      <c r="Q918" s="57"/>
      <c r="R918" s="33">
        <v>0</v>
      </c>
      <c r="S918" s="29">
        <f t="shared" si="36"/>
        <v>0</v>
      </c>
    </row>
    <row r="919" spans="1:19" x14ac:dyDescent="0.25">
      <c r="C919" s="29"/>
      <c r="D919" s="30"/>
      <c r="E919" s="34" t="s">
        <v>436</v>
      </c>
      <c r="F919" s="18">
        <f t="shared" si="37"/>
        <v>15672000</v>
      </c>
      <c r="G919" s="35"/>
      <c r="H919" s="33">
        <v>12216000</v>
      </c>
      <c r="I919" s="57"/>
      <c r="J919" s="33">
        <v>3456000</v>
      </c>
      <c r="K919" s="57"/>
      <c r="L919" s="33">
        <v>0</v>
      </c>
      <c r="M919" s="57"/>
      <c r="N919" s="33">
        <v>9662000</v>
      </c>
      <c r="O919" s="57"/>
      <c r="P919" s="33">
        <v>9863000</v>
      </c>
      <c r="Q919" s="57"/>
      <c r="R919" s="33">
        <v>3853000</v>
      </c>
      <c r="S919" s="29">
        <f t="shared" si="36"/>
        <v>0</v>
      </c>
    </row>
    <row r="920" spans="1:19" x14ac:dyDescent="0.25">
      <c r="C920" s="29"/>
      <c r="D920" s="30"/>
      <c r="E920" s="34" t="s">
        <v>437</v>
      </c>
      <c r="F920" s="18">
        <f t="shared" si="37"/>
        <v>718000</v>
      </c>
      <c r="G920" s="35"/>
      <c r="H920" s="33">
        <v>648000</v>
      </c>
      <c r="I920" s="57"/>
      <c r="J920" s="33">
        <v>70000</v>
      </c>
      <c r="K920" s="57"/>
      <c r="L920" s="33">
        <v>0</v>
      </c>
      <c r="M920" s="57"/>
      <c r="N920" s="33">
        <v>320000</v>
      </c>
      <c r="O920" s="57"/>
      <c r="P920" s="33">
        <f>399000-1000</f>
        <v>398000</v>
      </c>
      <c r="Q920" s="57"/>
      <c r="R920" s="33">
        <v>0</v>
      </c>
      <c r="S920" s="29">
        <f t="shared" si="36"/>
        <v>0</v>
      </c>
    </row>
    <row r="921" spans="1:19" ht="16.5" customHeight="1" x14ac:dyDescent="0.25">
      <c r="C921" s="30" t="s">
        <v>438</v>
      </c>
      <c r="D921" s="30"/>
      <c r="E921" s="34"/>
      <c r="F921" s="18">
        <f t="shared" si="37"/>
        <v>2836000</v>
      </c>
      <c r="G921" s="35"/>
      <c r="H921" s="33">
        <f>2525000-1000</f>
        <v>2524000</v>
      </c>
      <c r="I921" s="57"/>
      <c r="J921" s="33">
        <v>293000</v>
      </c>
      <c r="K921" s="57"/>
      <c r="L921" s="33">
        <v>19000</v>
      </c>
      <c r="M921" s="57"/>
      <c r="N921" s="33">
        <v>1899000</v>
      </c>
      <c r="O921" s="57"/>
      <c r="P921" s="33">
        <v>1503000</v>
      </c>
      <c r="Q921" s="57"/>
      <c r="R921" s="33">
        <f>567000-1000</f>
        <v>566000</v>
      </c>
      <c r="S921" s="29">
        <f t="shared" si="36"/>
        <v>0</v>
      </c>
    </row>
    <row r="922" spans="1:19" ht="16.5" customHeight="1" x14ac:dyDescent="0.25">
      <c r="C922" s="30" t="s">
        <v>439</v>
      </c>
      <c r="D922" s="30"/>
      <c r="E922" s="34"/>
      <c r="F922" s="18">
        <f t="shared" si="37"/>
        <v>12295000</v>
      </c>
      <c r="G922" s="35"/>
      <c r="H922" s="33">
        <v>10034000</v>
      </c>
      <c r="I922" s="57"/>
      <c r="J922" s="33">
        <v>2261000</v>
      </c>
      <c r="K922" s="57"/>
      <c r="L922" s="33">
        <v>0</v>
      </c>
      <c r="M922" s="57"/>
      <c r="N922" s="33">
        <f>7994000+1000</f>
        <v>7995000</v>
      </c>
      <c r="O922" s="57"/>
      <c r="P922" s="33">
        <v>7599000</v>
      </c>
      <c r="Q922" s="57"/>
      <c r="R922" s="33">
        <v>3299000</v>
      </c>
      <c r="S922" s="29">
        <f t="shared" si="36"/>
        <v>0</v>
      </c>
    </row>
    <row r="923" spans="1:19" ht="16.5" customHeight="1" x14ac:dyDescent="0.25">
      <c r="C923" s="30" t="s">
        <v>205</v>
      </c>
      <c r="D923" s="30"/>
      <c r="E923" s="34"/>
      <c r="F923" s="18">
        <f t="shared" si="37"/>
        <v>7476000</v>
      </c>
      <c r="G923" s="35"/>
      <c r="H923" s="33">
        <v>1695000</v>
      </c>
      <c r="I923" s="57"/>
      <c r="J923" s="33">
        <v>5469000</v>
      </c>
      <c r="K923" s="57"/>
      <c r="L923" s="33">
        <v>312000</v>
      </c>
      <c r="M923" s="57"/>
      <c r="N923" s="33">
        <f>712000+1000</f>
        <v>713000</v>
      </c>
      <c r="O923" s="57"/>
      <c r="P923" s="33">
        <f>7144000+1000</f>
        <v>7145000</v>
      </c>
      <c r="Q923" s="57"/>
      <c r="R923" s="33">
        <f>381000+1000</f>
        <v>382000</v>
      </c>
      <c r="S923" s="29">
        <f t="shared" si="36"/>
        <v>0</v>
      </c>
    </row>
    <row r="924" spans="1:19" ht="16.5" customHeight="1" x14ac:dyDescent="0.25">
      <c r="C924" s="30" t="s">
        <v>440</v>
      </c>
      <c r="D924" s="30"/>
      <c r="E924" s="34"/>
      <c r="F924" s="18">
        <f t="shared" si="37"/>
        <v>2000</v>
      </c>
      <c r="G924" s="35"/>
      <c r="H924" s="33">
        <v>0</v>
      </c>
      <c r="I924" s="57"/>
      <c r="J924" s="33">
        <v>2000</v>
      </c>
      <c r="K924" s="57"/>
      <c r="L924" s="33">
        <v>0</v>
      </c>
      <c r="M924" s="57"/>
      <c r="N924" s="33">
        <v>17000</v>
      </c>
      <c r="O924" s="57"/>
      <c r="P924" s="33">
        <v>18000</v>
      </c>
      <c r="Q924" s="57"/>
      <c r="R924" s="33">
        <v>33000</v>
      </c>
      <c r="S924" s="29">
        <f t="shared" si="36"/>
        <v>0</v>
      </c>
    </row>
    <row r="925" spans="1:19" ht="16.5" customHeight="1" x14ac:dyDescent="0.25">
      <c r="C925" s="30" t="s">
        <v>441</v>
      </c>
      <c r="D925" s="30"/>
      <c r="E925" s="34"/>
      <c r="F925" s="18">
        <f t="shared" si="37"/>
        <v>4653000</v>
      </c>
      <c r="G925" s="35"/>
      <c r="H925" s="33">
        <f>847000+1000</f>
        <v>848000</v>
      </c>
      <c r="I925" s="57"/>
      <c r="J925" s="33">
        <v>3805000</v>
      </c>
      <c r="K925" s="57"/>
      <c r="L925" s="33">
        <f>1000-1000</f>
        <v>0</v>
      </c>
      <c r="M925" s="57"/>
      <c r="N925" s="33">
        <v>2486000</v>
      </c>
      <c r="O925" s="57"/>
      <c r="P925" s="33">
        <v>3227000</v>
      </c>
      <c r="Q925" s="57"/>
      <c r="R925" s="33">
        <v>1060000</v>
      </c>
      <c r="S925" s="29">
        <f t="shared" si="36"/>
        <v>0</v>
      </c>
    </row>
    <row r="926" spans="1:19" ht="16.5" customHeight="1" x14ac:dyDescent="0.25">
      <c r="C926" s="30" t="s">
        <v>442</v>
      </c>
      <c r="D926" s="30"/>
      <c r="E926" s="34"/>
      <c r="F926" s="18">
        <f t="shared" si="37"/>
        <v>30940000</v>
      </c>
      <c r="G926" s="35"/>
      <c r="H926" s="33">
        <v>29552000</v>
      </c>
      <c r="I926" s="57"/>
      <c r="J926" s="33">
        <v>1388000</v>
      </c>
      <c r="K926" s="57"/>
      <c r="L926" s="33">
        <v>0</v>
      </c>
      <c r="M926" s="57"/>
      <c r="N926" s="33">
        <v>2523000</v>
      </c>
      <c r="O926" s="57"/>
      <c r="P926" s="33">
        <f>29784000+1000</f>
        <v>29785000</v>
      </c>
      <c r="Q926" s="57"/>
      <c r="R926" s="33">
        <v>1368000</v>
      </c>
      <c r="S926" s="29">
        <f t="shared" si="36"/>
        <v>0</v>
      </c>
    </row>
    <row r="927" spans="1:19" ht="16.5" customHeight="1" x14ac:dyDescent="0.25">
      <c r="C927" s="30" t="s">
        <v>443</v>
      </c>
      <c r="D927" s="30"/>
      <c r="E927" s="34"/>
      <c r="F927" s="18">
        <f t="shared" si="37"/>
        <v>-83000</v>
      </c>
      <c r="G927" s="35"/>
      <c r="H927" s="33">
        <v>-65000</v>
      </c>
      <c r="I927" s="57"/>
      <c r="J927" s="33">
        <v>-18000</v>
      </c>
      <c r="K927" s="57"/>
      <c r="L927" s="33">
        <v>0</v>
      </c>
      <c r="M927" s="57"/>
      <c r="N927" s="33">
        <v>-80000</v>
      </c>
      <c r="O927" s="57"/>
      <c r="P927" s="33">
        <v>-3000</v>
      </c>
      <c r="Q927" s="57"/>
      <c r="R927" s="33">
        <v>0</v>
      </c>
      <c r="S927" s="29">
        <f t="shared" si="36"/>
        <v>0</v>
      </c>
    </row>
    <row r="928" spans="1:19" x14ac:dyDescent="0.25">
      <c r="C928" s="30" t="s">
        <v>211</v>
      </c>
      <c r="D928" s="30"/>
      <c r="E928" s="34"/>
      <c r="F928" s="58">
        <f t="shared" si="37"/>
        <v>0</v>
      </c>
      <c r="G928" s="7"/>
      <c r="H928" s="36">
        <v>-3088000</v>
      </c>
      <c r="I928" s="33"/>
      <c r="J928" s="36">
        <v>3088000</v>
      </c>
      <c r="K928" s="33"/>
      <c r="L928" s="36">
        <v>0</v>
      </c>
      <c r="M928" s="33"/>
      <c r="N928" s="36">
        <v>0</v>
      </c>
      <c r="O928" s="33"/>
      <c r="P928" s="36">
        <v>0</v>
      </c>
      <c r="Q928" s="33"/>
      <c r="R928" s="36">
        <v>0</v>
      </c>
      <c r="S928" s="29">
        <f t="shared" si="36"/>
        <v>0</v>
      </c>
    </row>
    <row r="929" spans="1:19" x14ac:dyDescent="0.25">
      <c r="C929" s="30"/>
      <c r="D929" s="30"/>
      <c r="E929" s="34"/>
      <c r="G929" s="7"/>
      <c r="H929" s="33"/>
      <c r="I929" s="33"/>
      <c r="J929" s="33"/>
      <c r="K929" s="33"/>
      <c r="L929" s="33"/>
      <c r="M929" s="33"/>
      <c r="N929" s="33"/>
      <c r="O929" s="33"/>
      <c r="P929" s="33"/>
      <c r="Q929" s="45"/>
      <c r="R929" s="33"/>
      <c r="S929" s="29">
        <f t="shared" si="36"/>
        <v>0</v>
      </c>
    </row>
    <row r="930" spans="1:19" x14ac:dyDescent="0.25">
      <c r="E930" s="30" t="s">
        <v>444</v>
      </c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29">
        <f t="shared" si="36"/>
        <v>0</v>
      </c>
    </row>
    <row r="931" spans="1:19" x14ac:dyDescent="0.25">
      <c r="E931" s="30" t="s">
        <v>445</v>
      </c>
      <c r="F931" s="58">
        <f>SUM(H931:L931)</f>
        <v>82742000</v>
      </c>
      <c r="G931" s="7"/>
      <c r="H931" s="58">
        <f>SUM(H915:H928)</f>
        <v>58627000</v>
      </c>
      <c r="I931" s="18"/>
      <c r="J931" s="58">
        <f>SUM(J915:J928)</f>
        <v>23771000</v>
      </c>
      <c r="K931" s="18"/>
      <c r="L931" s="58">
        <f>SUM(L915:L928)</f>
        <v>344000</v>
      </c>
      <c r="M931" s="18"/>
      <c r="N931" s="58">
        <f>SUM(N915:N928)</f>
        <v>35401000</v>
      </c>
      <c r="O931" s="18"/>
      <c r="P931" s="58">
        <f>SUM(P915:P928)</f>
        <v>70112000</v>
      </c>
      <c r="Q931" s="18"/>
      <c r="R931" s="58">
        <f>SUM(R915:R928)</f>
        <v>22771000</v>
      </c>
      <c r="S931" s="29">
        <f t="shared" si="36"/>
        <v>0</v>
      </c>
    </row>
    <row r="932" spans="1:19" x14ac:dyDescent="0.25">
      <c r="A932" s="46"/>
      <c r="B932" s="46"/>
      <c r="C932" s="46"/>
      <c r="D932" s="46"/>
      <c r="E932" s="46"/>
      <c r="G932" s="7"/>
      <c r="H932" s="18"/>
      <c r="I932" s="7"/>
      <c r="J932" s="18"/>
      <c r="K932" s="7"/>
      <c r="L932" s="7"/>
      <c r="M932" s="7"/>
      <c r="N932" s="7"/>
      <c r="O932" s="7"/>
      <c r="P932" s="18"/>
      <c r="Q932" s="7"/>
      <c r="R932" s="7"/>
      <c r="S932" s="29">
        <f t="shared" si="36"/>
        <v>0</v>
      </c>
    </row>
    <row r="933" spans="1:19" x14ac:dyDescent="0.25">
      <c r="A933" s="22" t="s">
        <v>446</v>
      </c>
      <c r="F933" s="58">
        <f>SUM(H933:L933)</f>
        <v>339301000</v>
      </c>
      <c r="G933" s="7"/>
      <c r="H933" s="36">
        <v>10694000</v>
      </c>
      <c r="I933" s="33"/>
      <c r="J933" s="36">
        <v>189395000</v>
      </c>
      <c r="K933" s="33"/>
      <c r="L933" s="36">
        <v>139212000</v>
      </c>
      <c r="M933" s="33"/>
      <c r="N933" s="36">
        <v>0</v>
      </c>
      <c r="O933" s="33"/>
      <c r="P933" s="36">
        <v>339301000</v>
      </c>
      <c r="Q933" s="33"/>
      <c r="R933" s="36">
        <v>0</v>
      </c>
      <c r="S933" s="29">
        <f t="shared" si="36"/>
        <v>0</v>
      </c>
    </row>
    <row r="934" spans="1:19" x14ac:dyDescent="0.25">
      <c r="A934" s="22"/>
      <c r="G934" s="7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29">
        <f t="shared" si="36"/>
        <v>0</v>
      </c>
    </row>
    <row r="935" spans="1:19" x14ac:dyDescent="0.25">
      <c r="A935" s="22"/>
      <c r="C935" s="30" t="s">
        <v>447</v>
      </c>
      <c r="F935" s="58">
        <f>SUM(H935:L935)</f>
        <v>-204181000</v>
      </c>
      <c r="G935" s="7"/>
      <c r="H935" s="36">
        <v>0</v>
      </c>
      <c r="I935" s="33"/>
      <c r="J935" s="36">
        <v>-204181000</v>
      </c>
      <c r="K935" s="33"/>
      <c r="L935" s="36">
        <v>0</v>
      </c>
      <c r="M935" s="33"/>
      <c r="N935" s="36">
        <v>0</v>
      </c>
      <c r="O935" s="33"/>
      <c r="P935" s="36">
        <v>-204181000</v>
      </c>
      <c r="Q935" s="33"/>
      <c r="R935" s="36">
        <v>0</v>
      </c>
      <c r="S935" s="29">
        <f t="shared" si="36"/>
        <v>0</v>
      </c>
    </row>
    <row r="936" spans="1:19" x14ac:dyDescent="0.25">
      <c r="A936" s="22"/>
      <c r="G936" s="7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29">
        <f t="shared" si="36"/>
        <v>0</v>
      </c>
    </row>
    <row r="937" spans="1:19" x14ac:dyDescent="0.25">
      <c r="A937" s="22"/>
      <c r="E937" s="30" t="s">
        <v>448</v>
      </c>
      <c r="F937" s="58">
        <f>SUM(H937:L937)</f>
        <v>135120000</v>
      </c>
      <c r="G937" s="7"/>
      <c r="H937" s="58">
        <f>+H933+H935</f>
        <v>10694000</v>
      </c>
      <c r="I937" s="18"/>
      <c r="J937" s="58">
        <f>+J933+J935</f>
        <v>-14786000</v>
      </c>
      <c r="K937" s="18"/>
      <c r="L937" s="58">
        <f>+L933+L935</f>
        <v>139212000</v>
      </c>
      <c r="M937" s="18"/>
      <c r="N937" s="58">
        <f>+N933+N935</f>
        <v>0</v>
      </c>
      <c r="O937" s="18"/>
      <c r="P937" s="58">
        <f>+P933+P935</f>
        <v>135120000</v>
      </c>
      <c r="Q937" s="18"/>
      <c r="R937" s="58">
        <f>+R933+R935</f>
        <v>0</v>
      </c>
      <c r="S937" s="29">
        <f t="shared" si="36"/>
        <v>0</v>
      </c>
    </row>
    <row r="938" spans="1:19" x14ac:dyDescent="0.25">
      <c r="A938" s="46"/>
      <c r="B938" s="46"/>
      <c r="C938" s="46"/>
      <c r="D938" s="46"/>
      <c r="E938" s="46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29">
        <f t="shared" si="36"/>
        <v>0</v>
      </c>
    </row>
    <row r="939" spans="1:19" x14ac:dyDescent="0.25">
      <c r="A939" s="22" t="s">
        <v>449</v>
      </c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29">
        <f t="shared" si="36"/>
        <v>0</v>
      </c>
    </row>
    <row r="940" spans="1:19" x14ac:dyDescent="0.25">
      <c r="A940" s="46"/>
      <c r="B940" s="46"/>
      <c r="C940" s="46"/>
      <c r="D940" s="46"/>
      <c r="E940" s="46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29">
        <f t="shared" si="36"/>
        <v>0</v>
      </c>
    </row>
    <row r="941" spans="1:19" x14ac:dyDescent="0.25">
      <c r="B941" s="30" t="s">
        <v>450</v>
      </c>
      <c r="C941" s="29"/>
      <c r="D941" s="30"/>
      <c r="F941" s="58">
        <f>SUM(H941:L941)</f>
        <v>5639000</v>
      </c>
      <c r="G941" s="7"/>
      <c r="H941" s="36">
        <v>0</v>
      </c>
      <c r="I941" s="33"/>
      <c r="J941" s="36">
        <v>5611000</v>
      </c>
      <c r="K941" s="33"/>
      <c r="L941" s="36">
        <v>28000</v>
      </c>
      <c r="M941" s="33"/>
      <c r="N941" s="36">
        <v>2396000</v>
      </c>
      <c r="O941" s="33"/>
      <c r="P941" s="36">
        <v>3243000</v>
      </c>
      <c r="Q941" s="33"/>
      <c r="R941" s="36">
        <v>0</v>
      </c>
      <c r="S941" s="29">
        <f t="shared" si="36"/>
        <v>0</v>
      </c>
    </row>
    <row r="942" spans="1:19" x14ac:dyDescent="0.25">
      <c r="C942" s="29"/>
      <c r="D942" s="30"/>
      <c r="G942" s="7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29">
        <f t="shared" si="36"/>
        <v>0</v>
      </c>
    </row>
    <row r="943" spans="1:19" x14ac:dyDescent="0.25">
      <c r="B943" s="38" t="s">
        <v>451</v>
      </c>
      <c r="C943" s="29"/>
      <c r="D943" s="30"/>
      <c r="E943" s="34"/>
      <c r="F943" s="58">
        <f>SUM(H943:L943)</f>
        <v>13605000</v>
      </c>
      <c r="G943" s="7"/>
      <c r="H943" s="36">
        <v>0</v>
      </c>
      <c r="I943" s="33"/>
      <c r="J943" s="36">
        <v>13558000</v>
      </c>
      <c r="K943" s="33"/>
      <c r="L943" s="36">
        <v>47000</v>
      </c>
      <c r="M943" s="33"/>
      <c r="N943" s="36">
        <v>5059000</v>
      </c>
      <c r="O943" s="33"/>
      <c r="P943" s="36">
        <v>11450000</v>
      </c>
      <c r="Q943" s="33"/>
      <c r="R943" s="36">
        <v>2904000</v>
      </c>
      <c r="S943" s="29">
        <f t="shared" si="36"/>
        <v>0</v>
      </c>
    </row>
    <row r="944" spans="1:19" x14ac:dyDescent="0.25">
      <c r="B944" s="30"/>
      <c r="C944" s="29"/>
      <c r="D944" s="30"/>
      <c r="E944" s="34"/>
      <c r="G944" s="7"/>
      <c r="H944" s="33"/>
      <c r="I944" s="33"/>
      <c r="J944" s="33"/>
      <c r="K944" s="33"/>
      <c r="L944" s="33"/>
      <c r="M944" s="33"/>
      <c r="N944" s="33"/>
      <c r="O944" s="33"/>
      <c r="P944" s="33"/>
      <c r="Q944" s="45"/>
      <c r="R944" s="33"/>
      <c r="S944" s="29">
        <f t="shared" si="36"/>
        <v>0</v>
      </c>
    </row>
    <row r="945" spans="1:19" x14ac:dyDescent="0.25">
      <c r="B945" s="30" t="s">
        <v>452</v>
      </c>
      <c r="C945" s="29"/>
      <c r="F945" s="58">
        <f>SUM(H945:L945)</f>
        <v>58689000</v>
      </c>
      <c r="G945" s="7"/>
      <c r="H945" s="58">
        <v>0</v>
      </c>
      <c r="I945" s="7"/>
      <c r="J945" s="58">
        <v>58503000</v>
      </c>
      <c r="K945" s="7"/>
      <c r="L945" s="58">
        <v>186000</v>
      </c>
      <c r="M945" s="7"/>
      <c r="N945" s="58">
        <v>29624000</v>
      </c>
      <c r="O945" s="7"/>
      <c r="P945" s="58">
        <v>32319000</v>
      </c>
      <c r="Q945" s="7"/>
      <c r="R945" s="58">
        <v>3254000</v>
      </c>
      <c r="S945" s="29">
        <f t="shared" si="36"/>
        <v>0</v>
      </c>
    </row>
    <row r="946" spans="1:19" x14ac:dyDescent="0.25">
      <c r="E946" s="30" t="s">
        <v>21</v>
      </c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29">
        <f t="shared" si="36"/>
        <v>0</v>
      </c>
    </row>
    <row r="947" spans="1:19" x14ac:dyDescent="0.25">
      <c r="B947" s="38" t="s">
        <v>453</v>
      </c>
      <c r="F947" s="58">
        <f>SUM(H947:L947)</f>
        <v>22331000</v>
      </c>
      <c r="G947" s="7"/>
      <c r="H947" s="36">
        <v>0</v>
      </c>
      <c r="I947" s="33"/>
      <c r="J947" s="36">
        <v>19243000</v>
      </c>
      <c r="K947" s="33"/>
      <c r="L947" s="36">
        <v>3088000</v>
      </c>
      <c r="M947" s="33"/>
      <c r="N947" s="36">
        <v>9302000</v>
      </c>
      <c r="O947" s="33"/>
      <c r="P947" s="36">
        <f>13189000+1000</f>
        <v>13190000</v>
      </c>
      <c r="Q947" s="33"/>
      <c r="R947" s="36">
        <v>161000</v>
      </c>
      <c r="S947" s="29">
        <f t="shared" si="36"/>
        <v>0</v>
      </c>
    </row>
    <row r="948" spans="1:19" x14ac:dyDescent="0.25">
      <c r="A948" s="46"/>
      <c r="B948" s="46"/>
      <c r="C948" s="46"/>
      <c r="D948" s="46"/>
      <c r="E948" s="46"/>
      <c r="G948" s="7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29">
        <f t="shared" si="36"/>
        <v>0</v>
      </c>
    </row>
    <row r="949" spans="1:19" x14ac:dyDescent="0.25">
      <c r="B949" s="38" t="s">
        <v>454</v>
      </c>
      <c r="F949" s="58">
        <f>SUM(H949:L949)</f>
        <v>2509000</v>
      </c>
      <c r="G949" s="7"/>
      <c r="H949" s="36">
        <v>0</v>
      </c>
      <c r="I949" s="33"/>
      <c r="J949" s="36">
        <v>2509000</v>
      </c>
      <c r="K949" s="33"/>
      <c r="L949" s="36">
        <v>0</v>
      </c>
      <c r="M949" s="33"/>
      <c r="N949" s="36">
        <v>1608000</v>
      </c>
      <c r="O949" s="33"/>
      <c r="P949" s="36">
        <v>3336000</v>
      </c>
      <c r="Q949" s="33"/>
      <c r="R949" s="36">
        <v>2435000</v>
      </c>
      <c r="S949" s="29">
        <f t="shared" si="36"/>
        <v>0</v>
      </c>
    </row>
    <row r="950" spans="1:19" x14ac:dyDescent="0.25">
      <c r="A950" s="46"/>
      <c r="B950" s="46"/>
      <c r="C950" s="46"/>
      <c r="D950" s="46"/>
      <c r="E950" s="46"/>
      <c r="G950" s="7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29">
        <f t="shared" si="36"/>
        <v>0</v>
      </c>
    </row>
    <row r="951" spans="1:19" x14ac:dyDescent="0.25">
      <c r="A951" s="46"/>
      <c r="B951" s="46" t="s">
        <v>408</v>
      </c>
      <c r="C951" s="46"/>
      <c r="D951" s="46"/>
      <c r="E951" s="46"/>
      <c r="F951" s="58">
        <f>SUM(H951:L951)</f>
        <v>21987000</v>
      </c>
      <c r="G951" s="7"/>
      <c r="H951" s="36">
        <v>-1320000</v>
      </c>
      <c r="I951" s="33"/>
      <c r="J951" s="36">
        <v>23248000</v>
      </c>
      <c r="K951" s="33"/>
      <c r="L951" s="36">
        <v>59000</v>
      </c>
      <c r="M951" s="33"/>
      <c r="N951" s="36">
        <v>3864000</v>
      </c>
      <c r="O951" s="33"/>
      <c r="P951" s="36">
        <v>18478000</v>
      </c>
      <c r="Q951" s="33"/>
      <c r="R951" s="36">
        <v>355000</v>
      </c>
      <c r="S951" s="29">
        <f t="shared" ref="S951:S959" si="38">+F951-N951-P951+R951</f>
        <v>0</v>
      </c>
    </row>
    <row r="952" spans="1:19" x14ac:dyDescent="0.25">
      <c r="A952" s="46"/>
      <c r="B952" s="46"/>
      <c r="C952" s="46"/>
      <c r="D952" s="46"/>
      <c r="E952" s="46"/>
      <c r="G952" s="7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29">
        <f t="shared" si="38"/>
        <v>0</v>
      </c>
    </row>
    <row r="953" spans="1:19" x14ac:dyDescent="0.25">
      <c r="A953" s="46"/>
      <c r="B953" s="38" t="s">
        <v>351</v>
      </c>
      <c r="C953" s="46"/>
      <c r="D953" s="46"/>
      <c r="E953" s="46"/>
      <c r="G953" s="7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29">
        <f t="shared" si="38"/>
        <v>0</v>
      </c>
    </row>
    <row r="954" spans="1:19" x14ac:dyDescent="0.25">
      <c r="B954" s="20"/>
      <c r="C954" s="38" t="s">
        <v>352</v>
      </c>
      <c r="F954" s="58">
        <f>SUM(H954:L954)</f>
        <v>70000</v>
      </c>
      <c r="G954" s="7"/>
      <c r="H954" s="36">
        <v>0</v>
      </c>
      <c r="I954" s="33"/>
      <c r="J954" s="36">
        <v>70000</v>
      </c>
      <c r="K954" s="33"/>
      <c r="L954" s="36">
        <f>1000-1000</f>
        <v>0</v>
      </c>
      <c r="M954" s="33"/>
      <c r="N954" s="36">
        <v>67000</v>
      </c>
      <c r="O954" s="33"/>
      <c r="P954" s="36">
        <v>3000</v>
      </c>
      <c r="Q954" s="33"/>
      <c r="R954" s="36">
        <v>0</v>
      </c>
      <c r="S954" s="29">
        <f t="shared" si="38"/>
        <v>0</v>
      </c>
    </row>
    <row r="955" spans="1:19" x14ac:dyDescent="0.25">
      <c r="B955" s="20"/>
      <c r="G955" s="7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29">
        <f t="shared" si="38"/>
        <v>0</v>
      </c>
    </row>
    <row r="956" spans="1:19" x14ac:dyDescent="0.25">
      <c r="E956" s="30" t="s">
        <v>455</v>
      </c>
      <c r="F956" s="58">
        <f>SUM(H956:L956)</f>
        <v>124830000</v>
      </c>
      <c r="G956" s="18"/>
      <c r="H956" s="58">
        <f>+H947+H949+H951+H954+H945+H941+H943</f>
        <v>-1320000</v>
      </c>
      <c r="I956" s="18"/>
      <c r="J956" s="58">
        <f>+J947+J949+J951+J954+J945+J941+J943</f>
        <v>122742000</v>
      </c>
      <c r="K956" s="18"/>
      <c r="L956" s="58">
        <f>+L947+L949+L951+L954+L945+L941+L943</f>
        <v>3408000</v>
      </c>
      <c r="M956" s="18"/>
      <c r="N956" s="58">
        <f>+N947+N949+N951+N954+N945+N941+N943</f>
        <v>51920000</v>
      </c>
      <c r="O956" s="18"/>
      <c r="P956" s="58">
        <f>+P947+P949+P951+P954+P945+P941+P943</f>
        <v>82019000</v>
      </c>
      <c r="Q956" s="18"/>
      <c r="R956" s="58">
        <f>+R947+R949+R951+R954+R945+R941+R943</f>
        <v>9109000</v>
      </c>
      <c r="S956" s="29">
        <f t="shared" si="38"/>
        <v>0</v>
      </c>
    </row>
    <row r="957" spans="1:19" x14ac:dyDescent="0.25"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29">
        <f t="shared" si="38"/>
        <v>0</v>
      </c>
    </row>
    <row r="958" spans="1:19" x14ac:dyDescent="0.25"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29">
        <f t="shared" si="38"/>
        <v>0</v>
      </c>
    </row>
    <row r="959" spans="1:19" x14ac:dyDescent="0.25">
      <c r="E959" s="30" t="s">
        <v>456</v>
      </c>
      <c r="F959" s="41">
        <f>SUM(H959:L959)</f>
        <v>2251432200.8499999</v>
      </c>
      <c r="G959" s="39"/>
      <c r="H959" s="41">
        <f>H36+H50+H70+H82+H137+H163+H177+H189+H347+H357+H394+H404+H416+H428+H440+H479+H489+H493+H497+H692+H779+H910+H931+H937+H956</f>
        <v>524319863.29000002</v>
      </c>
      <c r="I959" s="39"/>
      <c r="J959" s="41">
        <f>J36+J50+J70+J82+J137+J163+J177+J189+J347+J357+J394+J404+J416+J428+J440+J479+J489+J493+J497+J692+J779+J910+J931+J937+J956</f>
        <v>904937124.07999992</v>
      </c>
      <c r="K959" s="39"/>
      <c r="L959" s="41">
        <f>L36+L50+L70+L82+L137+L163+L177+L189+L347+L357+L394+L404+L416+L428+L440+L479+L489+L493+L497+L692+L779+L910+L931+L937+L956</f>
        <v>822175213.48000002</v>
      </c>
      <c r="M959" s="39"/>
      <c r="N959" s="41">
        <f>N36+N50+N70+N82+N137+N163+N177+N189+N347+N357+N394+N404+N416+N428+N440+N479+N489+N493+N497+N692+N779+N910+N931+N937+N956</f>
        <v>1116023629.5799999</v>
      </c>
      <c r="O959" s="39"/>
      <c r="P959" s="41">
        <f>P36+P50+P70+P82+P137+P163+P177+P189+P347+P357+P394+P404+P416+P428+P440+P479+P489+P493+P497+P692+P779+P910+P931+P937+P956</f>
        <v>1258268571.27</v>
      </c>
      <c r="Q959" s="39"/>
      <c r="R959" s="41">
        <f>R36+R50+R70+R82+R137+R163+R177+R189+R347+R357+R394+R404+R416+R428+R440+R479+R489+R493+R497+R692+R779+R910+R931+R937+R956</f>
        <v>122860000</v>
      </c>
      <c r="S959" s="29">
        <f t="shared" si="38"/>
        <v>0</v>
      </c>
    </row>
    <row r="960" spans="1:19" x14ac:dyDescent="0.25">
      <c r="N960" s="21" t="s">
        <v>21</v>
      </c>
    </row>
    <row r="961" spans="2:19" x14ac:dyDescent="0.25">
      <c r="D961" s="38" t="s">
        <v>457</v>
      </c>
      <c r="F961" s="58">
        <f>SUM(H961:L961)</f>
        <v>-68859000</v>
      </c>
      <c r="G961" s="7"/>
      <c r="H961" s="36">
        <v>-18558000</v>
      </c>
      <c r="I961" s="33"/>
      <c r="J961" s="36">
        <v>-24227000</v>
      </c>
      <c r="K961" s="33"/>
      <c r="L961" s="36">
        <v>-26074000</v>
      </c>
      <c r="M961" s="33"/>
      <c r="N961" s="36">
        <v>-10961000</v>
      </c>
      <c r="O961" s="33"/>
      <c r="P961" s="36">
        <v>-57898000</v>
      </c>
      <c r="Q961" s="33"/>
      <c r="R961" s="36">
        <v>0</v>
      </c>
      <c r="S961" s="29">
        <f t="shared" ref="S961:S967" si="39">+F961-N961-P961+R961</f>
        <v>0</v>
      </c>
    </row>
    <row r="962" spans="2:19" x14ac:dyDescent="0.25">
      <c r="G962" s="7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29">
        <f t="shared" si="39"/>
        <v>0</v>
      </c>
    </row>
    <row r="963" spans="2:19" x14ac:dyDescent="0.25">
      <c r="B963" s="38" t="s">
        <v>458</v>
      </c>
      <c r="F963" s="58">
        <f>SUM(H963:L963)</f>
        <v>32162000</v>
      </c>
      <c r="G963" s="7"/>
      <c r="H963" s="36">
        <v>32162000</v>
      </c>
      <c r="I963" s="33"/>
      <c r="J963" s="36">
        <v>0</v>
      </c>
      <c r="K963" s="33"/>
      <c r="L963" s="36">
        <v>0</v>
      </c>
      <c r="M963" s="33"/>
      <c r="N963" s="36">
        <v>0</v>
      </c>
      <c r="O963" s="33"/>
      <c r="P963" s="36">
        <v>64324000</v>
      </c>
      <c r="Q963" s="33"/>
      <c r="R963" s="36">
        <v>32162000</v>
      </c>
      <c r="S963" s="29">
        <f t="shared" si="39"/>
        <v>0</v>
      </c>
    </row>
    <row r="964" spans="2:19" x14ac:dyDescent="0.25"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29">
        <f t="shared" si="39"/>
        <v>0</v>
      </c>
    </row>
    <row r="965" spans="2:19" ht="13.8" thickBot="1" x14ac:dyDescent="0.3">
      <c r="E965" s="30" t="s">
        <v>459</v>
      </c>
      <c r="F965" s="51">
        <f>SUM(H965:L965)</f>
        <v>2214735200.8499999</v>
      </c>
      <c r="G965" s="7"/>
      <c r="H965" s="52">
        <f>+H959+H961+H963</f>
        <v>537923863.28999996</v>
      </c>
      <c r="I965" s="33"/>
      <c r="J965" s="52">
        <f>+J959+J961+J963</f>
        <v>880710124.07999992</v>
      </c>
      <c r="K965" s="33"/>
      <c r="L965" s="52">
        <f>+L959+L961+L963</f>
        <v>796101213.48000002</v>
      </c>
      <c r="M965" s="33"/>
      <c r="N965" s="52">
        <f>+N959+N961+N963</f>
        <v>1105062629.5799999</v>
      </c>
      <c r="O965" s="33"/>
      <c r="P965" s="52">
        <f>+P959+P961+P963</f>
        <v>1264694571.27</v>
      </c>
      <c r="Q965" s="45"/>
      <c r="R965" s="52">
        <f>+R959+R961+R963</f>
        <v>155022000</v>
      </c>
      <c r="S965" s="29">
        <f t="shared" si="39"/>
        <v>0</v>
      </c>
    </row>
    <row r="966" spans="2:19" ht="13.8" thickTop="1" x14ac:dyDescent="0.25">
      <c r="S966" s="29">
        <f t="shared" si="39"/>
        <v>0</v>
      </c>
    </row>
    <row r="968" spans="2:19" x14ac:dyDescent="0.25">
      <c r="H968" s="18"/>
      <c r="J968" s="18"/>
      <c r="L968" s="18"/>
      <c r="N968" s="18"/>
      <c r="P968" s="18"/>
      <c r="R968" s="18"/>
    </row>
  </sheetData>
  <phoneticPr fontId="0" type="noConversion"/>
  <printOptions horizontalCentered="1"/>
  <pageMargins left="0.25" right="0.23" top="1.1000000000000001" bottom="0.75" header="0.5" footer="0.25"/>
  <pageSetup scale="80" orientation="portrait" r:id="rId1"/>
  <headerFooter>
    <oddHeader>&amp;L
  &amp;"Times New Roman,Regular"(Dollars in Thousands)&amp;C&amp;"Times New Roman,Regular"
Berkeley
CURRENT FUNDS EXPENDITURES BY DEPARTMENT&amp;R
&amp;"Times New Roman,Regular"2013-14 Schedule 1-C</oddHeader>
  </headerFooter>
  <rowBreaks count="5" manualBreakCount="5">
    <brk id="725" max="16383" man="1"/>
    <brk id="780" max="16383" man="1"/>
    <brk id="840" max="16383" man="1"/>
    <brk id="894" max="16383" man="1"/>
    <brk id="951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2C4B50F860C149B70746F45EF17B19" ma:contentTypeVersion="0" ma:contentTypeDescription="Create a new document." ma:contentTypeScope="" ma:versionID="3dd0e3ba527e82b9602ed72f4c5e62c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FE7D17-DE18-4688-AFED-D3FAC18A15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0F2A23-9982-4D81-A74C-25A389BD9A5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71CD359-34E8-4A34-BC96-9520610F76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D217F190-D77D-49CC-8EFB-50AB115AE8A0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BK</vt:lpstr>
      <vt:lpstr>BK!Print_Area</vt:lpstr>
      <vt:lpstr>BK!Print_Titles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FABS</dc:creator>
  <cp:lastModifiedBy>Yaling LI</cp:lastModifiedBy>
  <cp:lastPrinted>2014-09-22T23:43:01Z</cp:lastPrinted>
  <dcterms:created xsi:type="dcterms:W3CDTF">1997-08-30T00:45:45Z</dcterms:created>
  <dcterms:modified xsi:type="dcterms:W3CDTF">2014-09-22T23:43:55Z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0x010100CF2C4B50F860C149B70746F45EF17B19</vt:lpwstr>
  </property>
</Properties>
</file>