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callaway/Dropbox/service/campus committees/CNR EXCOM/UCOP data/spreadsheets/UCB Schedule C FY14-18/"/>
    </mc:Choice>
  </mc:AlternateContent>
  <xr:revisionPtr revIDLastSave="0" documentId="13_ncr:1_{8F87D767-AA2A-3A43-B397-E1E0087A1714}" xr6:coauthVersionLast="41" xr6:coauthVersionMax="41" xr10:uidLastSave="{00000000-0000-0000-0000-000000000000}"/>
  <bookViews>
    <workbookView xWindow="20440" yWindow="460" windowWidth="17960" windowHeight="21140" xr2:uid="{00000000-000D-0000-FFFF-FFFF00000000}"/>
  </bookViews>
  <sheets>
    <sheet name="BK14SchC" sheetId="9" r:id="rId1"/>
    <sheet name="BK15SchC" sheetId="8" r:id="rId2"/>
    <sheet name="BK16SchC" sheetId="7" r:id="rId3"/>
    <sheet name="BK17SchC" sheetId="6" r:id="rId4"/>
    <sheet name="BK18SchC" sheetId="1" r:id="rId5"/>
  </sheets>
  <externalReferences>
    <externalReference r:id="rId6"/>
    <externalReference r:id="rId7"/>
    <externalReference r:id="rId8"/>
  </externalReferences>
  <definedNames>
    <definedName name="_xlnm._FilterDatabase" localSheetId="0" hidden="1">BK14SchC!$A$3:$S$968</definedName>
    <definedName name="data">[1]Data!$C$1:$G$65536</definedName>
    <definedName name="FUNCTION_KEY" hidden="1">[2]Key!$D$2:$E$11</definedName>
    <definedName name="_xlnm.Print_Area" localSheetId="0">BK14SchC!$A$1:$R$966</definedName>
    <definedName name="_xlnm.Print_Area" localSheetId="1">BK15SchC!$A:$R</definedName>
    <definedName name="_xlnm.Print_Titles" localSheetId="0">BK14SchC!$1:$3</definedName>
    <definedName name="_xlnm.Print_Titles" localSheetId="1">BK15SchC!$1:$3</definedName>
    <definedName name="_xlnm.Print_Titles" localSheetId="2">BK16SchC!$1:$3</definedName>
    <definedName name="_xlnm.Print_Titles" localSheetId="4">BK18SchC!$1:$3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9" l="1"/>
  <c r="S8" i="9"/>
  <c r="F9" i="9"/>
  <c r="S9" i="9"/>
  <c r="F10" i="9"/>
  <c r="S10" i="9"/>
  <c r="F11" i="9"/>
  <c r="S11" i="9"/>
  <c r="F12" i="9"/>
  <c r="S12" i="9"/>
  <c r="F13" i="9"/>
  <c r="S13" i="9"/>
  <c r="S14" i="9"/>
  <c r="F15" i="9"/>
  <c r="S15" i="9" s="1"/>
  <c r="S16" i="9"/>
  <c r="H17" i="9"/>
  <c r="J17" i="9"/>
  <c r="L17" i="9"/>
  <c r="L36" i="9" s="1"/>
  <c r="N17" i="9"/>
  <c r="P17" i="9"/>
  <c r="R17" i="9"/>
  <c r="S18" i="9"/>
  <c r="S19" i="9"/>
  <c r="J20" i="9"/>
  <c r="L20" i="9"/>
  <c r="P20" i="9"/>
  <c r="F21" i="9"/>
  <c r="S21" i="9" s="1"/>
  <c r="F22" i="9"/>
  <c r="S22" i="9" s="1"/>
  <c r="F23" i="9"/>
  <c r="S23" i="9" s="1"/>
  <c r="F24" i="9"/>
  <c r="L24" i="9"/>
  <c r="P24" i="9"/>
  <c r="P31" i="9" s="1"/>
  <c r="P36" i="9" s="1"/>
  <c r="F25" i="9"/>
  <c r="L25" i="9"/>
  <c r="S25" i="9"/>
  <c r="F26" i="9"/>
  <c r="S26" i="9"/>
  <c r="F27" i="9"/>
  <c r="S27" i="9"/>
  <c r="S28" i="9"/>
  <c r="F29" i="9"/>
  <c r="S29" i="9" s="1"/>
  <c r="S30" i="9"/>
  <c r="H31" i="9"/>
  <c r="L31" i="9"/>
  <c r="N31" i="9"/>
  <c r="R31" i="9"/>
  <c r="S32" i="9"/>
  <c r="F33" i="9"/>
  <c r="S33" i="9" s="1"/>
  <c r="S34" i="9"/>
  <c r="S35" i="9"/>
  <c r="N36" i="9"/>
  <c r="R36" i="9"/>
  <c r="S37" i="9"/>
  <c r="S38" i="9"/>
  <c r="S39" i="9"/>
  <c r="S40" i="9"/>
  <c r="F41" i="9"/>
  <c r="S41" i="9" s="1"/>
  <c r="S42" i="9"/>
  <c r="F43" i="9"/>
  <c r="S43" i="9" s="1"/>
  <c r="S44" i="9"/>
  <c r="F45" i="9"/>
  <c r="S45" i="9" s="1"/>
  <c r="J45" i="9"/>
  <c r="L45" i="9"/>
  <c r="S46" i="9"/>
  <c r="F47" i="9"/>
  <c r="S47" i="9" s="1"/>
  <c r="R47" i="9"/>
  <c r="S48" i="9"/>
  <c r="S49" i="9"/>
  <c r="H50" i="9"/>
  <c r="J50" i="9"/>
  <c r="F50" i="9" s="1"/>
  <c r="L50" i="9"/>
  <c r="N50" i="9"/>
  <c r="P50" i="9"/>
  <c r="R50" i="9"/>
  <c r="S51" i="9"/>
  <c r="S52" i="9"/>
  <c r="S53" i="9"/>
  <c r="S54" i="9"/>
  <c r="F55" i="9"/>
  <c r="N55" i="9"/>
  <c r="S55" i="9"/>
  <c r="F56" i="9"/>
  <c r="L56" i="9"/>
  <c r="N56" i="9"/>
  <c r="S56" i="9"/>
  <c r="F57" i="9"/>
  <c r="S57" i="9" s="1"/>
  <c r="S58" i="9"/>
  <c r="F59" i="9"/>
  <c r="H59" i="9"/>
  <c r="J59" i="9"/>
  <c r="L59" i="9"/>
  <c r="N59" i="9"/>
  <c r="P59" i="9"/>
  <c r="R59" i="9"/>
  <c r="S60" i="9"/>
  <c r="S61" i="9"/>
  <c r="F62" i="9"/>
  <c r="S62" i="9" s="1"/>
  <c r="F63" i="9"/>
  <c r="S63" i="9" s="1"/>
  <c r="N63" i="9"/>
  <c r="H64" i="9"/>
  <c r="P64" i="9"/>
  <c r="S65" i="9"/>
  <c r="J66" i="9"/>
  <c r="L66" i="9"/>
  <c r="N66" i="9"/>
  <c r="P66" i="9"/>
  <c r="P70" i="9" s="1"/>
  <c r="R66" i="9"/>
  <c r="S67" i="9"/>
  <c r="F68" i="9"/>
  <c r="S68" i="9" s="1"/>
  <c r="R68" i="9"/>
  <c r="S69" i="9"/>
  <c r="J70" i="9"/>
  <c r="L70" i="9"/>
  <c r="R70" i="9"/>
  <c r="S71" i="9"/>
  <c r="S72" i="9"/>
  <c r="S73" i="9"/>
  <c r="F74" i="9"/>
  <c r="S74" i="9" s="1"/>
  <c r="H74" i="9"/>
  <c r="H82" i="9" s="1"/>
  <c r="F82" i="9" s="1"/>
  <c r="S82" i="9" s="1"/>
  <c r="S75" i="9"/>
  <c r="F76" i="9"/>
  <c r="S76" i="9" s="1"/>
  <c r="P76" i="9"/>
  <c r="P82" i="9" s="1"/>
  <c r="S77" i="9"/>
  <c r="F78" i="9"/>
  <c r="S78" i="9" s="1"/>
  <c r="S79" i="9"/>
  <c r="F80" i="9"/>
  <c r="S80" i="9"/>
  <c r="S81" i="9"/>
  <c r="J82" i="9"/>
  <c r="L82" i="9"/>
  <c r="N82" i="9"/>
  <c r="R82" i="9"/>
  <c r="S83" i="9"/>
  <c r="S84" i="9"/>
  <c r="S85" i="9"/>
  <c r="S86" i="9"/>
  <c r="F87" i="9"/>
  <c r="S87" i="9" s="1"/>
  <c r="F88" i="9"/>
  <c r="S88" i="9" s="1"/>
  <c r="F89" i="9"/>
  <c r="S89" i="9" s="1"/>
  <c r="F90" i="9"/>
  <c r="S90" i="9" s="1"/>
  <c r="S91" i="9"/>
  <c r="H92" i="9"/>
  <c r="F93" i="9"/>
  <c r="S93" i="9" s="1"/>
  <c r="S94" i="9"/>
  <c r="F95" i="9"/>
  <c r="S95" i="9" s="1"/>
  <c r="N95" i="9"/>
  <c r="S96" i="9"/>
  <c r="F97" i="9"/>
  <c r="S97" i="9" s="1"/>
  <c r="F98" i="9"/>
  <c r="S98" i="9"/>
  <c r="F99" i="9"/>
  <c r="J99" i="9"/>
  <c r="L99" i="9"/>
  <c r="S99" i="9"/>
  <c r="F100" i="9"/>
  <c r="S100" i="9" s="1"/>
  <c r="S101" i="9"/>
  <c r="J102" i="9"/>
  <c r="L102" i="9"/>
  <c r="N102" i="9"/>
  <c r="N137" i="9" s="1"/>
  <c r="P102" i="9"/>
  <c r="R102" i="9"/>
  <c r="S103" i="9"/>
  <c r="S104" i="9"/>
  <c r="F105" i="9"/>
  <c r="P105" i="9"/>
  <c r="S105" i="9"/>
  <c r="F106" i="9"/>
  <c r="S106" i="9" s="1"/>
  <c r="F107" i="9"/>
  <c r="S107" i="9"/>
  <c r="F108" i="9"/>
  <c r="S108" i="9" s="1"/>
  <c r="H108" i="9"/>
  <c r="S109" i="9"/>
  <c r="F110" i="9"/>
  <c r="S110" i="9" s="1"/>
  <c r="F111" i="9"/>
  <c r="S111" i="9"/>
  <c r="S112" i="9"/>
  <c r="F113" i="9"/>
  <c r="S113" i="9" s="1"/>
  <c r="S114" i="9"/>
  <c r="F115" i="9"/>
  <c r="N115" i="9"/>
  <c r="P115" i="9"/>
  <c r="S115" i="9"/>
  <c r="F116" i="9"/>
  <c r="S116" i="9" s="1"/>
  <c r="F117" i="9"/>
  <c r="S117" i="9"/>
  <c r="S118" i="9"/>
  <c r="H119" i="9"/>
  <c r="F119" i="9" s="1"/>
  <c r="J119" i="9"/>
  <c r="L119" i="9"/>
  <c r="N119" i="9"/>
  <c r="P119" i="9"/>
  <c r="R119" i="9"/>
  <c r="S120" i="9"/>
  <c r="S121" i="9"/>
  <c r="F122" i="9"/>
  <c r="S122" i="9" s="1"/>
  <c r="F123" i="9"/>
  <c r="S123" i="9"/>
  <c r="S124" i="9"/>
  <c r="H125" i="9"/>
  <c r="J125" i="9"/>
  <c r="L125" i="9"/>
  <c r="N125" i="9"/>
  <c r="P125" i="9"/>
  <c r="R125" i="9"/>
  <c r="S126" i="9"/>
  <c r="S127" i="9"/>
  <c r="J128" i="9"/>
  <c r="F129" i="9"/>
  <c r="S129" i="9"/>
  <c r="S130" i="9"/>
  <c r="F131" i="9"/>
  <c r="L131" i="9"/>
  <c r="P131" i="9"/>
  <c r="R131" i="9"/>
  <c r="H132" i="9"/>
  <c r="F132" i="9" s="1"/>
  <c r="S132" i="9" s="1"/>
  <c r="R132" i="9"/>
  <c r="F133" i="9"/>
  <c r="S133" i="9" s="1"/>
  <c r="S134" i="9"/>
  <c r="H135" i="9"/>
  <c r="L135" i="9"/>
  <c r="N135" i="9"/>
  <c r="P135" i="9"/>
  <c r="S136" i="9"/>
  <c r="P137" i="9"/>
  <c r="S138" i="9"/>
  <c r="S139" i="9"/>
  <c r="S140" i="9"/>
  <c r="S141" i="9"/>
  <c r="S142" i="9"/>
  <c r="F143" i="9"/>
  <c r="S143" i="9"/>
  <c r="F144" i="9"/>
  <c r="S144" i="9" s="1"/>
  <c r="F145" i="9"/>
  <c r="S145" i="9"/>
  <c r="S146" i="9"/>
  <c r="F147" i="9"/>
  <c r="S147" i="9" s="1"/>
  <c r="S148" i="9"/>
  <c r="H149" i="9"/>
  <c r="J149" i="9"/>
  <c r="L149" i="9"/>
  <c r="F149" i="9" s="1"/>
  <c r="N149" i="9"/>
  <c r="P149" i="9"/>
  <c r="R149" i="9"/>
  <c r="S149" i="9"/>
  <c r="S150" i="9"/>
  <c r="S151" i="9"/>
  <c r="F152" i="9"/>
  <c r="S152" i="9"/>
  <c r="F153" i="9"/>
  <c r="H153" i="9"/>
  <c r="J153" i="9"/>
  <c r="S153" i="9"/>
  <c r="F154" i="9"/>
  <c r="S154" i="9" s="1"/>
  <c r="S155" i="9"/>
  <c r="F156" i="9"/>
  <c r="S156" i="9" s="1"/>
  <c r="J156" i="9"/>
  <c r="J158" i="9" s="1"/>
  <c r="J163" i="9" s="1"/>
  <c r="S157" i="9"/>
  <c r="F158" i="9"/>
  <c r="S158" i="9" s="1"/>
  <c r="H158" i="9"/>
  <c r="H163" i="9" s="1"/>
  <c r="L158" i="9"/>
  <c r="N158" i="9"/>
  <c r="N163" i="9" s="1"/>
  <c r="P158" i="9"/>
  <c r="P163" i="9" s="1"/>
  <c r="R158" i="9"/>
  <c r="S159" i="9"/>
  <c r="F160" i="9"/>
  <c r="S160" i="9" s="1"/>
  <c r="S161" i="9"/>
  <c r="S162" i="9"/>
  <c r="L163" i="9"/>
  <c r="R163" i="9"/>
  <c r="S164" i="9"/>
  <c r="S165" i="9"/>
  <c r="S166" i="9"/>
  <c r="S167" i="9"/>
  <c r="F168" i="9"/>
  <c r="S168" i="9" s="1"/>
  <c r="H168" i="9"/>
  <c r="S169" i="9"/>
  <c r="F170" i="9"/>
  <c r="S170" i="9" s="1"/>
  <c r="P170" i="9"/>
  <c r="S171" i="9"/>
  <c r="F172" i="9"/>
  <c r="S172" i="9" s="1"/>
  <c r="S173" i="9"/>
  <c r="F174" i="9"/>
  <c r="S174" i="9" s="1"/>
  <c r="P174" i="9"/>
  <c r="P177" i="9" s="1"/>
  <c r="S175" i="9"/>
  <c r="S176" i="9"/>
  <c r="H177" i="9"/>
  <c r="J177" i="9"/>
  <c r="L177" i="9"/>
  <c r="F177" i="9" s="1"/>
  <c r="N177" i="9"/>
  <c r="R177" i="9"/>
  <c r="S177" i="9"/>
  <c r="S178" i="9"/>
  <c r="S179" i="9"/>
  <c r="S180" i="9"/>
  <c r="F181" i="9"/>
  <c r="S181" i="9" s="1"/>
  <c r="P181" i="9"/>
  <c r="S182" i="9"/>
  <c r="F183" i="9"/>
  <c r="S183" i="9" s="1"/>
  <c r="H183" i="9"/>
  <c r="P183" i="9"/>
  <c r="S184" i="9"/>
  <c r="F185" i="9"/>
  <c r="S185" i="9" s="1"/>
  <c r="S186" i="9"/>
  <c r="F187" i="9"/>
  <c r="S187" i="9" s="1"/>
  <c r="P187" i="9"/>
  <c r="S188" i="9"/>
  <c r="F189" i="9"/>
  <c r="H189" i="9"/>
  <c r="J189" i="9"/>
  <c r="L189" i="9"/>
  <c r="N189" i="9"/>
  <c r="P189" i="9"/>
  <c r="R189" i="9"/>
  <c r="S190" i="9"/>
  <c r="S191" i="9"/>
  <c r="S192" i="9"/>
  <c r="S193" i="9"/>
  <c r="F194" i="9"/>
  <c r="S194" i="9" s="1"/>
  <c r="S195" i="9"/>
  <c r="F196" i="9"/>
  <c r="P196" i="9"/>
  <c r="S196" i="9" s="1"/>
  <c r="J197" i="9"/>
  <c r="F197" i="9" s="1"/>
  <c r="P197" i="9"/>
  <c r="H198" i="9"/>
  <c r="F198" i="9" s="1"/>
  <c r="N198" i="9"/>
  <c r="N266" i="9" s="1"/>
  <c r="F199" i="9"/>
  <c r="S199" i="9"/>
  <c r="F200" i="9"/>
  <c r="S200" i="9" s="1"/>
  <c r="F201" i="9"/>
  <c r="S201" i="9"/>
  <c r="F202" i="9"/>
  <c r="S202" i="9" s="1"/>
  <c r="F203" i="9"/>
  <c r="N203" i="9"/>
  <c r="S203" i="9"/>
  <c r="F204" i="9"/>
  <c r="S204" i="9" s="1"/>
  <c r="S205" i="9"/>
  <c r="F206" i="9"/>
  <c r="S206" i="9" s="1"/>
  <c r="F207" i="9"/>
  <c r="S207" i="9"/>
  <c r="F208" i="9"/>
  <c r="S208" i="9" s="1"/>
  <c r="P208" i="9"/>
  <c r="F209" i="9"/>
  <c r="S209" i="9"/>
  <c r="F210" i="9"/>
  <c r="S210" i="9" s="1"/>
  <c r="S211" i="9"/>
  <c r="F212" i="9"/>
  <c r="S212" i="9" s="1"/>
  <c r="J213" i="9"/>
  <c r="F213" i="9" s="1"/>
  <c r="S213" i="9" s="1"/>
  <c r="F214" i="9"/>
  <c r="S214" i="9" s="1"/>
  <c r="H214" i="9"/>
  <c r="F215" i="9"/>
  <c r="S215" i="9" s="1"/>
  <c r="F216" i="9"/>
  <c r="S216" i="9"/>
  <c r="F217" i="9"/>
  <c r="S217" i="9" s="1"/>
  <c r="P217" i="9"/>
  <c r="F218" i="9"/>
  <c r="S218" i="9"/>
  <c r="F219" i="9"/>
  <c r="S219" i="9" s="1"/>
  <c r="H219" i="9"/>
  <c r="F220" i="9"/>
  <c r="S220" i="9" s="1"/>
  <c r="F221" i="9"/>
  <c r="S221" i="9"/>
  <c r="F222" i="9"/>
  <c r="S222" i="9" s="1"/>
  <c r="N222" i="9"/>
  <c r="F223" i="9"/>
  <c r="S223" i="9"/>
  <c r="F224" i="9"/>
  <c r="S224" i="9" s="1"/>
  <c r="J224" i="9"/>
  <c r="F225" i="9"/>
  <c r="S225" i="9" s="1"/>
  <c r="S226" i="9"/>
  <c r="F227" i="9"/>
  <c r="P227" i="9"/>
  <c r="S227" i="9" s="1"/>
  <c r="F228" i="9"/>
  <c r="S228" i="9"/>
  <c r="F229" i="9"/>
  <c r="S229" i="9" s="1"/>
  <c r="S230" i="9"/>
  <c r="F231" i="9"/>
  <c r="S231" i="9"/>
  <c r="F232" i="9"/>
  <c r="S232" i="9" s="1"/>
  <c r="H232" i="9"/>
  <c r="S233" i="9"/>
  <c r="F234" i="9"/>
  <c r="S234" i="9" s="1"/>
  <c r="J235" i="9"/>
  <c r="F236" i="9"/>
  <c r="S236" i="9"/>
  <c r="F237" i="9"/>
  <c r="S237" i="9" s="1"/>
  <c r="F238" i="9"/>
  <c r="S238" i="9"/>
  <c r="F239" i="9"/>
  <c r="S239" i="9" s="1"/>
  <c r="P239" i="9"/>
  <c r="F240" i="9"/>
  <c r="S240" i="9"/>
  <c r="F241" i="9"/>
  <c r="S241" i="9" s="1"/>
  <c r="P241" i="9"/>
  <c r="F242" i="9"/>
  <c r="S242" i="9" s="1"/>
  <c r="F243" i="9"/>
  <c r="S243" i="9"/>
  <c r="F244" i="9"/>
  <c r="S244" i="9" s="1"/>
  <c r="F245" i="9"/>
  <c r="S245" i="9"/>
  <c r="F246" i="9"/>
  <c r="S246" i="9" s="1"/>
  <c r="J246" i="9"/>
  <c r="F247" i="9"/>
  <c r="S247" i="9"/>
  <c r="F248" i="9"/>
  <c r="S248" i="9" s="1"/>
  <c r="F249" i="9"/>
  <c r="S249" i="9"/>
  <c r="S250" i="9"/>
  <c r="H251" i="9"/>
  <c r="F251" i="9" s="1"/>
  <c r="S251" i="9" s="1"/>
  <c r="F252" i="9"/>
  <c r="S252" i="9" s="1"/>
  <c r="F253" i="9"/>
  <c r="S253" i="9"/>
  <c r="F254" i="9"/>
  <c r="S254" i="9" s="1"/>
  <c r="L254" i="9"/>
  <c r="F255" i="9"/>
  <c r="S255" i="9" s="1"/>
  <c r="L255" i="9"/>
  <c r="L256" i="9"/>
  <c r="P256" i="9"/>
  <c r="J257" i="9"/>
  <c r="F257" i="9" s="1"/>
  <c r="S257" i="9" s="1"/>
  <c r="H258" i="9"/>
  <c r="F258" i="9" s="1"/>
  <c r="S258" i="9" s="1"/>
  <c r="F259" i="9"/>
  <c r="H259" i="9"/>
  <c r="L259" i="9"/>
  <c r="S259" i="9"/>
  <c r="F260" i="9"/>
  <c r="S260" i="9" s="1"/>
  <c r="N260" i="9"/>
  <c r="S261" i="9"/>
  <c r="H262" i="9"/>
  <c r="J262" i="9"/>
  <c r="L262" i="9"/>
  <c r="F262" i="9" s="1"/>
  <c r="S262" i="9" s="1"/>
  <c r="F263" i="9"/>
  <c r="S263" i="9"/>
  <c r="F264" i="9"/>
  <c r="S264" i="9" s="1"/>
  <c r="S265" i="9"/>
  <c r="H266" i="9"/>
  <c r="R266" i="9"/>
  <c r="S267" i="9"/>
  <c r="S268" i="9"/>
  <c r="F269" i="9"/>
  <c r="S269" i="9" s="1"/>
  <c r="H269" i="9"/>
  <c r="F270" i="9"/>
  <c r="S270" i="9" s="1"/>
  <c r="H270" i="9"/>
  <c r="L271" i="9"/>
  <c r="H272" i="9"/>
  <c r="F272" i="9" s="1"/>
  <c r="S272" i="9" s="1"/>
  <c r="F273" i="9"/>
  <c r="S273" i="9" s="1"/>
  <c r="F274" i="9"/>
  <c r="S274" i="9"/>
  <c r="F275" i="9"/>
  <c r="S275" i="9" s="1"/>
  <c r="F276" i="9"/>
  <c r="S276" i="9"/>
  <c r="F277" i="9"/>
  <c r="S277" i="9" s="1"/>
  <c r="F278" i="9"/>
  <c r="S278" i="9"/>
  <c r="F279" i="9"/>
  <c r="S279" i="9" s="1"/>
  <c r="H279" i="9"/>
  <c r="F280" i="9"/>
  <c r="S280" i="9" s="1"/>
  <c r="F281" i="9"/>
  <c r="S281" i="9"/>
  <c r="F282" i="9"/>
  <c r="S282" i="9" s="1"/>
  <c r="F283" i="9"/>
  <c r="S283" i="9"/>
  <c r="F284" i="9"/>
  <c r="S284" i="9" s="1"/>
  <c r="H284" i="9"/>
  <c r="F285" i="9"/>
  <c r="S285" i="9"/>
  <c r="F286" i="9"/>
  <c r="S286" i="9" s="1"/>
  <c r="F287" i="9"/>
  <c r="S287" i="9"/>
  <c r="F288" i="9"/>
  <c r="S288" i="9" s="1"/>
  <c r="J288" i="9"/>
  <c r="F289" i="9"/>
  <c r="S289" i="9" s="1"/>
  <c r="H289" i="9"/>
  <c r="F290" i="9"/>
  <c r="S290" i="9"/>
  <c r="F291" i="9"/>
  <c r="S291" i="9" s="1"/>
  <c r="F292" i="9"/>
  <c r="S292" i="9"/>
  <c r="F293" i="9"/>
  <c r="S293" i="9" s="1"/>
  <c r="F294" i="9"/>
  <c r="N294" i="9"/>
  <c r="F295" i="9"/>
  <c r="S295" i="9"/>
  <c r="F296" i="9"/>
  <c r="S296" i="9" s="1"/>
  <c r="F297" i="9"/>
  <c r="S297" i="9"/>
  <c r="F298" i="9"/>
  <c r="S298" i="9" s="1"/>
  <c r="L299" i="9"/>
  <c r="F299" i="9" s="1"/>
  <c r="S299" i="9" s="1"/>
  <c r="F300" i="9"/>
  <c r="S300" i="9" s="1"/>
  <c r="F301" i="9"/>
  <c r="S301" i="9"/>
  <c r="F302" i="9"/>
  <c r="S302" i="9" s="1"/>
  <c r="H303" i="9"/>
  <c r="J303" i="9"/>
  <c r="J304" i="9"/>
  <c r="J305" i="9"/>
  <c r="F305" i="9" s="1"/>
  <c r="S305" i="9"/>
  <c r="F306" i="9"/>
  <c r="S306" i="9" s="1"/>
  <c r="F307" i="9"/>
  <c r="S307" i="9"/>
  <c r="F308" i="9"/>
  <c r="S308" i="9" s="1"/>
  <c r="F309" i="9"/>
  <c r="S309" i="9"/>
  <c r="F310" i="9"/>
  <c r="N310" i="9"/>
  <c r="P310" i="9"/>
  <c r="S310" i="9"/>
  <c r="F311" i="9"/>
  <c r="S311" i="9" s="1"/>
  <c r="L311" i="9"/>
  <c r="F312" i="9"/>
  <c r="S312" i="9" s="1"/>
  <c r="S313" i="9"/>
  <c r="P314" i="9"/>
  <c r="R314" i="9"/>
  <c r="S315" i="9"/>
  <c r="S316" i="9"/>
  <c r="F317" i="9"/>
  <c r="S317" i="9" s="1"/>
  <c r="P317" i="9"/>
  <c r="F318" i="9"/>
  <c r="S318" i="9" s="1"/>
  <c r="F319" i="9"/>
  <c r="S319" i="9"/>
  <c r="F320" i="9"/>
  <c r="S320" i="9" s="1"/>
  <c r="L320" i="9"/>
  <c r="F321" i="9"/>
  <c r="S321" i="9"/>
  <c r="F322" i="9"/>
  <c r="S322" i="9" s="1"/>
  <c r="F323" i="9"/>
  <c r="S323" i="9"/>
  <c r="F324" i="9"/>
  <c r="S324" i="9" s="1"/>
  <c r="S325" i="9"/>
  <c r="F326" i="9"/>
  <c r="H326" i="9"/>
  <c r="J326" i="9"/>
  <c r="L326" i="9"/>
  <c r="N326" i="9"/>
  <c r="P326" i="9"/>
  <c r="R326" i="9"/>
  <c r="S327" i="9"/>
  <c r="S328" i="9"/>
  <c r="F329" i="9"/>
  <c r="N329" i="9"/>
  <c r="S329" i="9"/>
  <c r="S330" i="9"/>
  <c r="J331" i="9"/>
  <c r="F331" i="9" s="1"/>
  <c r="N331" i="9"/>
  <c r="N344" i="9" s="1"/>
  <c r="F332" i="9"/>
  <c r="S332" i="9"/>
  <c r="F333" i="9"/>
  <c r="S333" i="9" s="1"/>
  <c r="F334" i="9"/>
  <c r="S334" i="9"/>
  <c r="F335" i="9"/>
  <c r="S335" i="9" s="1"/>
  <c r="F336" i="9"/>
  <c r="S336" i="9"/>
  <c r="F337" i="9"/>
  <c r="S337" i="9" s="1"/>
  <c r="F338" i="9"/>
  <c r="S338" i="9"/>
  <c r="F339" i="9"/>
  <c r="L339" i="9"/>
  <c r="N339" i="9"/>
  <c r="P339" i="9"/>
  <c r="S339" i="9"/>
  <c r="F340" i="9"/>
  <c r="S340" i="9" s="1"/>
  <c r="F341" i="9"/>
  <c r="S341" i="9"/>
  <c r="F342" i="9"/>
  <c r="S342" i="9" s="1"/>
  <c r="S343" i="9"/>
  <c r="F344" i="9"/>
  <c r="H344" i="9"/>
  <c r="J344" i="9"/>
  <c r="L344" i="9"/>
  <c r="P344" i="9"/>
  <c r="R344" i="9"/>
  <c r="S345" i="9"/>
  <c r="S346" i="9"/>
  <c r="R347" i="9"/>
  <c r="S348" i="9"/>
  <c r="S349" i="9"/>
  <c r="S350" i="9"/>
  <c r="S351" i="9"/>
  <c r="F352" i="9"/>
  <c r="N352" i="9"/>
  <c r="S352" i="9"/>
  <c r="S353" i="9"/>
  <c r="J354" i="9"/>
  <c r="F354" i="9" s="1"/>
  <c r="S354" i="9"/>
  <c r="S355" i="9"/>
  <c r="S356" i="9"/>
  <c r="H357" i="9"/>
  <c r="F357" i="9" s="1"/>
  <c r="J357" i="9"/>
  <c r="L357" i="9"/>
  <c r="N357" i="9"/>
  <c r="P357" i="9"/>
  <c r="R357" i="9"/>
  <c r="S358" i="9"/>
  <c r="S359" i="9"/>
  <c r="S360" i="9"/>
  <c r="S361" i="9"/>
  <c r="F362" i="9"/>
  <c r="P362" i="9"/>
  <c r="F363" i="9"/>
  <c r="S363" i="9"/>
  <c r="F364" i="9"/>
  <c r="S364" i="9" s="1"/>
  <c r="N364" i="9"/>
  <c r="S365" i="9"/>
  <c r="H366" i="9"/>
  <c r="J366" i="9"/>
  <c r="F367" i="9"/>
  <c r="S367" i="9"/>
  <c r="F368" i="9"/>
  <c r="S368" i="9"/>
  <c r="F369" i="9"/>
  <c r="N369" i="9"/>
  <c r="N377" i="9" s="1"/>
  <c r="H370" i="9"/>
  <c r="F370" i="9" s="1"/>
  <c r="S370" i="9" s="1"/>
  <c r="F371" i="9"/>
  <c r="S371" i="9"/>
  <c r="F372" i="9"/>
  <c r="S372" i="9" s="1"/>
  <c r="S373" i="9"/>
  <c r="F374" i="9"/>
  <c r="S374" i="9" s="1"/>
  <c r="N374" i="9"/>
  <c r="F375" i="9"/>
  <c r="S375" i="9"/>
  <c r="S376" i="9"/>
  <c r="J377" i="9"/>
  <c r="J394" i="9" s="1"/>
  <c r="L377" i="9"/>
  <c r="R377" i="9"/>
  <c r="R394" i="9" s="1"/>
  <c r="S378" i="9"/>
  <c r="S379" i="9"/>
  <c r="F380" i="9"/>
  <c r="S380" i="9" s="1"/>
  <c r="F381" i="9"/>
  <c r="P381" i="9"/>
  <c r="S381" i="9"/>
  <c r="S382" i="9"/>
  <c r="F383" i="9"/>
  <c r="S383" i="9" s="1"/>
  <c r="F384" i="9"/>
  <c r="S384" i="9" s="1"/>
  <c r="F385" i="9"/>
  <c r="S385" i="9" s="1"/>
  <c r="F386" i="9"/>
  <c r="S386" i="9" s="1"/>
  <c r="N386" i="9"/>
  <c r="F387" i="9"/>
  <c r="N387" i="9"/>
  <c r="P387" i="9"/>
  <c r="S388" i="9"/>
  <c r="F389" i="9"/>
  <c r="H389" i="9"/>
  <c r="J389" i="9"/>
  <c r="L389" i="9"/>
  <c r="P389" i="9"/>
  <c r="R389" i="9"/>
  <c r="S390" i="9"/>
  <c r="F391" i="9"/>
  <c r="S391" i="9" s="1"/>
  <c r="P391" i="9"/>
  <c r="S392" i="9"/>
  <c r="S393" i="9"/>
  <c r="L394" i="9"/>
  <c r="S395" i="9"/>
  <c r="S396" i="9"/>
  <c r="S397" i="9"/>
  <c r="F398" i="9"/>
  <c r="S398" i="9"/>
  <c r="S399" i="9"/>
  <c r="F400" i="9"/>
  <c r="S400" i="9" s="1"/>
  <c r="S401" i="9"/>
  <c r="L402" i="9"/>
  <c r="S403" i="9"/>
  <c r="H404" i="9"/>
  <c r="J404" i="9"/>
  <c r="N404" i="9"/>
  <c r="P404" i="9"/>
  <c r="R404" i="9"/>
  <c r="S405" i="9"/>
  <c r="S406" i="9"/>
  <c r="S407" i="9"/>
  <c r="F408" i="9"/>
  <c r="S408" i="9" s="1"/>
  <c r="S409" i="9"/>
  <c r="F410" i="9"/>
  <c r="S410" i="9"/>
  <c r="S411" i="9"/>
  <c r="F412" i="9"/>
  <c r="S412" i="9" s="1"/>
  <c r="S413" i="9"/>
  <c r="F414" i="9"/>
  <c r="N414" i="9"/>
  <c r="S415" i="9"/>
  <c r="H416" i="9"/>
  <c r="F416" i="9" s="1"/>
  <c r="J416" i="9"/>
  <c r="L416" i="9"/>
  <c r="P416" i="9"/>
  <c r="R416" i="9"/>
  <c r="S417" i="9"/>
  <c r="S418" i="9"/>
  <c r="S419" i="9"/>
  <c r="S420" i="9"/>
  <c r="H421" i="9"/>
  <c r="L421" i="9"/>
  <c r="L428" i="9" s="1"/>
  <c r="N421" i="9"/>
  <c r="S422" i="9"/>
  <c r="F423" i="9"/>
  <c r="S423" i="9"/>
  <c r="S424" i="9"/>
  <c r="F425" i="9"/>
  <c r="S425" i="9" s="1"/>
  <c r="S426" i="9"/>
  <c r="S427" i="9"/>
  <c r="J428" i="9"/>
  <c r="N428" i="9"/>
  <c r="P428" i="9"/>
  <c r="R428" i="9"/>
  <c r="S429" i="9"/>
  <c r="S430" i="9"/>
  <c r="S431" i="9"/>
  <c r="F432" i="9"/>
  <c r="S432" i="9"/>
  <c r="S433" i="9"/>
  <c r="F434" i="9"/>
  <c r="S434" i="9" s="1"/>
  <c r="S435" i="9"/>
  <c r="F436" i="9"/>
  <c r="N436" i="9"/>
  <c r="N440" i="9" s="1"/>
  <c r="S437" i="9"/>
  <c r="J438" i="9"/>
  <c r="S439" i="9"/>
  <c r="H440" i="9"/>
  <c r="L440" i="9"/>
  <c r="P440" i="9"/>
  <c r="R440" i="9"/>
  <c r="S441" i="9"/>
  <c r="S442" i="9"/>
  <c r="S443" i="9"/>
  <c r="S444" i="9"/>
  <c r="F445" i="9"/>
  <c r="S445" i="9" s="1"/>
  <c r="N445" i="9"/>
  <c r="N455" i="9" s="1"/>
  <c r="F446" i="9"/>
  <c r="S446" i="9" s="1"/>
  <c r="F447" i="9"/>
  <c r="S447" i="9" s="1"/>
  <c r="F448" i="9"/>
  <c r="S448" i="9" s="1"/>
  <c r="P448" i="9"/>
  <c r="F449" i="9"/>
  <c r="S449" i="9"/>
  <c r="F450" i="9"/>
  <c r="S450" i="9"/>
  <c r="F451" i="9"/>
  <c r="S451" i="9"/>
  <c r="F452" i="9"/>
  <c r="S452" i="9"/>
  <c r="F453" i="9"/>
  <c r="P453" i="9"/>
  <c r="S454" i="9"/>
  <c r="H455" i="9"/>
  <c r="J455" i="9"/>
  <c r="L455" i="9"/>
  <c r="L479" i="9" s="1"/>
  <c r="R455" i="9"/>
  <c r="S456" i="9"/>
  <c r="S457" i="9"/>
  <c r="F458" i="9"/>
  <c r="N458" i="9"/>
  <c r="N469" i="9" s="1"/>
  <c r="F459" i="9"/>
  <c r="S459" i="9" s="1"/>
  <c r="N459" i="9"/>
  <c r="F460" i="9"/>
  <c r="S460" i="9"/>
  <c r="F461" i="9"/>
  <c r="N461" i="9"/>
  <c r="F462" i="9"/>
  <c r="S462" i="9" s="1"/>
  <c r="P462" i="9"/>
  <c r="F463" i="9"/>
  <c r="P463" i="9"/>
  <c r="S463" i="9" s="1"/>
  <c r="F464" i="9"/>
  <c r="S464" i="9" s="1"/>
  <c r="H464" i="9"/>
  <c r="P464" i="9"/>
  <c r="F465" i="9"/>
  <c r="S465" i="9" s="1"/>
  <c r="J465" i="9"/>
  <c r="L465" i="9"/>
  <c r="F466" i="9"/>
  <c r="S466" i="9" s="1"/>
  <c r="F467" i="9"/>
  <c r="S467" i="9" s="1"/>
  <c r="S468" i="9"/>
  <c r="H469" i="9"/>
  <c r="J469" i="9"/>
  <c r="L469" i="9"/>
  <c r="P469" i="9"/>
  <c r="R469" i="9"/>
  <c r="S470" i="9"/>
  <c r="S471" i="9"/>
  <c r="J472" i="9"/>
  <c r="F473" i="9"/>
  <c r="S473" i="9" s="1"/>
  <c r="S474" i="9"/>
  <c r="H475" i="9"/>
  <c r="L475" i="9"/>
  <c r="N475" i="9"/>
  <c r="P475" i="9"/>
  <c r="R475" i="9"/>
  <c r="S476" i="9"/>
  <c r="F477" i="9"/>
  <c r="S477" i="9" s="1"/>
  <c r="S478" i="9"/>
  <c r="R479" i="9"/>
  <c r="S480" i="9"/>
  <c r="S481" i="9"/>
  <c r="S482" i="9"/>
  <c r="F483" i="9"/>
  <c r="P483" i="9"/>
  <c r="S483" i="9"/>
  <c r="S484" i="9"/>
  <c r="F485" i="9"/>
  <c r="S485" i="9" s="1"/>
  <c r="S486" i="9"/>
  <c r="F487" i="9"/>
  <c r="P487" i="9"/>
  <c r="P489" i="9" s="1"/>
  <c r="S488" i="9"/>
  <c r="H489" i="9"/>
  <c r="J489" i="9"/>
  <c r="L489" i="9"/>
  <c r="N489" i="9"/>
  <c r="R489" i="9"/>
  <c r="S490" i="9"/>
  <c r="S491" i="9"/>
  <c r="S492" i="9"/>
  <c r="F493" i="9"/>
  <c r="S493" i="9" s="1"/>
  <c r="S494" i="9"/>
  <c r="S495" i="9"/>
  <c r="S496" i="9"/>
  <c r="J497" i="9"/>
  <c r="F497" i="9" s="1"/>
  <c r="S497" i="9" s="1"/>
  <c r="S498" i="9"/>
  <c r="S499" i="9"/>
  <c r="S500" i="9"/>
  <c r="S501" i="9"/>
  <c r="F502" i="9"/>
  <c r="S502" i="9" s="1"/>
  <c r="F503" i="9"/>
  <c r="S503" i="9" s="1"/>
  <c r="S504" i="9"/>
  <c r="F505" i="9"/>
  <c r="S505" i="9"/>
  <c r="J506" i="9"/>
  <c r="F507" i="9"/>
  <c r="S507" i="9" s="1"/>
  <c r="F508" i="9"/>
  <c r="S508" i="9" s="1"/>
  <c r="F509" i="9"/>
  <c r="S509" i="9" s="1"/>
  <c r="F510" i="9"/>
  <c r="S510" i="9" s="1"/>
  <c r="F511" i="9"/>
  <c r="S511" i="9" s="1"/>
  <c r="F512" i="9"/>
  <c r="S512" i="9" s="1"/>
  <c r="S513" i="9"/>
  <c r="H514" i="9"/>
  <c r="F514" i="9" s="1"/>
  <c r="S514" i="9" s="1"/>
  <c r="F515" i="9"/>
  <c r="S515" i="9" s="1"/>
  <c r="F516" i="9"/>
  <c r="S516" i="9" s="1"/>
  <c r="N516" i="9"/>
  <c r="S517" i="9"/>
  <c r="F518" i="9"/>
  <c r="S518" i="9" s="1"/>
  <c r="F519" i="9"/>
  <c r="S519" i="9" s="1"/>
  <c r="F520" i="9"/>
  <c r="S520" i="9" s="1"/>
  <c r="F521" i="9"/>
  <c r="S521" i="9" s="1"/>
  <c r="F522" i="9"/>
  <c r="S522" i="9" s="1"/>
  <c r="F523" i="9"/>
  <c r="N523" i="9"/>
  <c r="S523" i="9"/>
  <c r="F524" i="9"/>
  <c r="S524" i="9"/>
  <c r="F525" i="9"/>
  <c r="S525" i="9"/>
  <c r="S526" i="9"/>
  <c r="F527" i="9"/>
  <c r="J527" i="9"/>
  <c r="S527" i="9"/>
  <c r="J528" i="9"/>
  <c r="F528" i="9" s="1"/>
  <c r="S528" i="9" s="1"/>
  <c r="L528" i="9"/>
  <c r="N528" i="9"/>
  <c r="N531" i="9" s="1"/>
  <c r="F529" i="9"/>
  <c r="S529" i="9" s="1"/>
  <c r="S530" i="9"/>
  <c r="L531" i="9"/>
  <c r="P531" i="9"/>
  <c r="R531" i="9"/>
  <c r="S532" i="9"/>
  <c r="S533" i="9"/>
  <c r="J534" i="9"/>
  <c r="F534" i="9" s="1"/>
  <c r="S534" i="9" s="1"/>
  <c r="F535" i="9"/>
  <c r="S535" i="9" s="1"/>
  <c r="F536" i="9"/>
  <c r="N536" i="9"/>
  <c r="S536" i="9"/>
  <c r="S537" i="9"/>
  <c r="F538" i="9"/>
  <c r="S538" i="9" s="1"/>
  <c r="F539" i="9"/>
  <c r="S539" i="9" s="1"/>
  <c r="F540" i="9"/>
  <c r="S540" i="9" s="1"/>
  <c r="F541" i="9"/>
  <c r="S541" i="9" s="1"/>
  <c r="F542" i="9"/>
  <c r="P542" i="9"/>
  <c r="S542" i="9"/>
  <c r="S543" i="9"/>
  <c r="F544" i="9"/>
  <c r="S544" i="9" s="1"/>
  <c r="S545" i="9"/>
  <c r="F546" i="9"/>
  <c r="S546" i="9"/>
  <c r="F547" i="9"/>
  <c r="S547" i="9"/>
  <c r="F548" i="9"/>
  <c r="S548" i="9"/>
  <c r="S549" i="9"/>
  <c r="F550" i="9"/>
  <c r="S550" i="9" s="1"/>
  <c r="J550" i="9"/>
  <c r="S551" i="9"/>
  <c r="F552" i="9"/>
  <c r="S552" i="9" s="1"/>
  <c r="N552" i="9"/>
  <c r="S553" i="9"/>
  <c r="F554" i="9"/>
  <c r="S554" i="9" s="1"/>
  <c r="S555" i="9"/>
  <c r="F556" i="9"/>
  <c r="S556" i="9"/>
  <c r="S557" i="9"/>
  <c r="F558" i="9"/>
  <c r="S558" i="9" s="1"/>
  <c r="J558" i="9"/>
  <c r="R558" i="9"/>
  <c r="S559" i="9"/>
  <c r="F560" i="9"/>
  <c r="S560" i="9" s="1"/>
  <c r="N560" i="9"/>
  <c r="F561" i="9"/>
  <c r="P561" i="9"/>
  <c r="S561" i="9"/>
  <c r="F562" i="9"/>
  <c r="S562" i="9"/>
  <c r="F563" i="9"/>
  <c r="R563" i="9"/>
  <c r="S564" i="9"/>
  <c r="F565" i="9"/>
  <c r="S565" i="9"/>
  <c r="F566" i="9"/>
  <c r="P566" i="9"/>
  <c r="S566" i="9" s="1"/>
  <c r="F567" i="9"/>
  <c r="H567" i="9"/>
  <c r="S567" i="9"/>
  <c r="F568" i="9"/>
  <c r="S568" i="9"/>
  <c r="F569" i="9"/>
  <c r="S569" i="9"/>
  <c r="L570" i="9"/>
  <c r="F570" i="9" s="1"/>
  <c r="S570" i="9" s="1"/>
  <c r="F571" i="9"/>
  <c r="P571" i="9"/>
  <c r="S571" i="9"/>
  <c r="F572" i="9"/>
  <c r="N572" i="9"/>
  <c r="S572" i="9" s="1"/>
  <c r="F573" i="9"/>
  <c r="S573" i="9" s="1"/>
  <c r="F574" i="9"/>
  <c r="S574" i="9" s="1"/>
  <c r="F575" i="9"/>
  <c r="P575" i="9"/>
  <c r="S575" i="9"/>
  <c r="L576" i="9"/>
  <c r="F577" i="9"/>
  <c r="S577" i="9" s="1"/>
  <c r="F578" i="9"/>
  <c r="S578" i="9" s="1"/>
  <c r="F579" i="9"/>
  <c r="S579" i="9" s="1"/>
  <c r="S580" i="9"/>
  <c r="F581" i="9"/>
  <c r="S581" i="9"/>
  <c r="S582" i="9"/>
  <c r="F583" i="9"/>
  <c r="S583" i="9" s="1"/>
  <c r="J583" i="9"/>
  <c r="F584" i="9"/>
  <c r="S584" i="9"/>
  <c r="F585" i="9"/>
  <c r="N585" i="9"/>
  <c r="S585" i="9" s="1"/>
  <c r="F586" i="9"/>
  <c r="S586" i="9" s="1"/>
  <c r="F587" i="9"/>
  <c r="S587" i="9" s="1"/>
  <c r="S588" i="9"/>
  <c r="H589" i="9"/>
  <c r="F589" i="9" s="1"/>
  <c r="S589" i="9" s="1"/>
  <c r="S590" i="9"/>
  <c r="F591" i="9"/>
  <c r="N591" i="9"/>
  <c r="S591" i="9" s="1"/>
  <c r="F592" i="9"/>
  <c r="S592" i="9" s="1"/>
  <c r="S593" i="9"/>
  <c r="L594" i="9"/>
  <c r="F594" i="9" s="1"/>
  <c r="S594" i="9" s="1"/>
  <c r="F595" i="9"/>
  <c r="S595" i="9"/>
  <c r="S596" i="9"/>
  <c r="F597" i="9"/>
  <c r="S597" i="9"/>
  <c r="L598" i="9"/>
  <c r="F598" i="9" s="1"/>
  <c r="S598" i="9" s="1"/>
  <c r="F599" i="9"/>
  <c r="S599" i="9" s="1"/>
  <c r="N599" i="9"/>
  <c r="S600" i="9"/>
  <c r="F601" i="9"/>
  <c r="S601" i="9" s="1"/>
  <c r="J601" i="9"/>
  <c r="F602" i="9"/>
  <c r="N602" i="9"/>
  <c r="F603" i="9"/>
  <c r="S603" i="9" s="1"/>
  <c r="F604" i="9"/>
  <c r="S604" i="9"/>
  <c r="F605" i="9"/>
  <c r="S605" i="9" s="1"/>
  <c r="L606" i="9"/>
  <c r="F606" i="9" s="1"/>
  <c r="S606" i="9"/>
  <c r="F607" i="9"/>
  <c r="S607" i="9"/>
  <c r="F608" i="9"/>
  <c r="S608" i="9"/>
  <c r="F609" i="9"/>
  <c r="S609" i="9"/>
  <c r="H610" i="9"/>
  <c r="N610" i="9"/>
  <c r="F611" i="9"/>
  <c r="S611" i="9"/>
  <c r="F612" i="9"/>
  <c r="S612" i="9"/>
  <c r="F613" i="9"/>
  <c r="S613" i="9"/>
  <c r="F614" i="9"/>
  <c r="S614" i="9"/>
  <c r="F615" i="9"/>
  <c r="S615" i="9"/>
  <c r="F616" i="9"/>
  <c r="S616" i="9"/>
  <c r="S617" i="9"/>
  <c r="F618" i="9"/>
  <c r="S618" i="9" s="1"/>
  <c r="H619" i="9"/>
  <c r="J619" i="9"/>
  <c r="L619" i="9"/>
  <c r="N619" i="9"/>
  <c r="P619" i="9"/>
  <c r="S620" i="9"/>
  <c r="P621" i="9"/>
  <c r="R621" i="9"/>
  <c r="R692" i="9" s="1"/>
  <c r="S622" i="9"/>
  <c r="S623" i="9"/>
  <c r="F624" i="9"/>
  <c r="S624" i="9" s="1"/>
  <c r="S625" i="9"/>
  <c r="F626" i="9"/>
  <c r="S626" i="9"/>
  <c r="F627" i="9"/>
  <c r="S627" i="9"/>
  <c r="F628" i="9"/>
  <c r="S628" i="9"/>
  <c r="F629" i="9"/>
  <c r="S629" i="9"/>
  <c r="F630" i="9"/>
  <c r="S630" i="9"/>
  <c r="F631" i="9"/>
  <c r="S631" i="9"/>
  <c r="F632" i="9"/>
  <c r="S632" i="9"/>
  <c r="S633" i="9"/>
  <c r="F634" i="9"/>
  <c r="S634" i="9"/>
  <c r="F635" i="9"/>
  <c r="S635" i="9" s="1"/>
  <c r="S636" i="9"/>
  <c r="F637" i="9"/>
  <c r="S637" i="9" s="1"/>
  <c r="N637" i="9"/>
  <c r="N651" i="9" s="1"/>
  <c r="F638" i="9"/>
  <c r="S638" i="9"/>
  <c r="F639" i="9"/>
  <c r="S639" i="9" s="1"/>
  <c r="F640" i="9"/>
  <c r="S640" i="9"/>
  <c r="F641" i="9"/>
  <c r="S641" i="9" s="1"/>
  <c r="F642" i="9"/>
  <c r="S642" i="9"/>
  <c r="F643" i="9"/>
  <c r="S643" i="9" s="1"/>
  <c r="F644" i="9"/>
  <c r="S644" i="9" s="1"/>
  <c r="N644" i="9"/>
  <c r="P644" i="9"/>
  <c r="P651" i="9" s="1"/>
  <c r="F645" i="9"/>
  <c r="N645" i="9"/>
  <c r="S645" i="9"/>
  <c r="F646" i="9"/>
  <c r="S646" i="9"/>
  <c r="F647" i="9"/>
  <c r="S647" i="9"/>
  <c r="F648" i="9"/>
  <c r="S648" i="9"/>
  <c r="J649" i="9"/>
  <c r="L649" i="9"/>
  <c r="N649" i="9"/>
  <c r="S650" i="9"/>
  <c r="H651" i="9"/>
  <c r="L651" i="9"/>
  <c r="R651" i="9"/>
  <c r="S652" i="9"/>
  <c r="S653" i="9"/>
  <c r="F654" i="9"/>
  <c r="S654" i="9"/>
  <c r="F655" i="9"/>
  <c r="S655" i="9"/>
  <c r="F656" i="9"/>
  <c r="S656" i="9"/>
  <c r="F657" i="9"/>
  <c r="S657" i="9"/>
  <c r="F658" i="9"/>
  <c r="S658" i="9"/>
  <c r="S659" i="9"/>
  <c r="F660" i="9"/>
  <c r="S660" i="9"/>
  <c r="F661" i="9"/>
  <c r="S661" i="9" s="1"/>
  <c r="F662" i="9"/>
  <c r="S662" i="9"/>
  <c r="F663" i="9"/>
  <c r="S663" i="9" s="1"/>
  <c r="F664" i="9"/>
  <c r="P664" i="9"/>
  <c r="S664" i="9"/>
  <c r="H665" i="9"/>
  <c r="J665" i="9"/>
  <c r="J690" i="9" s="1"/>
  <c r="L665" i="9"/>
  <c r="L690" i="9" s="1"/>
  <c r="N665" i="9"/>
  <c r="P665" i="9"/>
  <c r="R665" i="9"/>
  <c r="R690" i="9" s="1"/>
  <c r="F666" i="9"/>
  <c r="N666" i="9"/>
  <c r="S666" i="9"/>
  <c r="F667" i="9"/>
  <c r="S667" i="9" s="1"/>
  <c r="N667" i="9"/>
  <c r="F668" i="9"/>
  <c r="S668" i="9"/>
  <c r="F669" i="9"/>
  <c r="S669" i="9"/>
  <c r="H670" i="9"/>
  <c r="F670" i="9" s="1"/>
  <c r="S670" i="9" s="1"/>
  <c r="J671" i="9"/>
  <c r="F671" i="9" s="1"/>
  <c r="S671" i="9"/>
  <c r="S672" i="9"/>
  <c r="F673" i="9"/>
  <c r="S673" i="9"/>
  <c r="F674" i="9"/>
  <c r="S674" i="9" s="1"/>
  <c r="F675" i="9"/>
  <c r="S675" i="9"/>
  <c r="F676" i="9"/>
  <c r="S676" i="9" s="1"/>
  <c r="S677" i="9"/>
  <c r="F678" i="9"/>
  <c r="S678" i="9"/>
  <c r="F679" i="9"/>
  <c r="S679" i="9"/>
  <c r="F680" i="9"/>
  <c r="S680" i="9" s="1"/>
  <c r="N680" i="9"/>
  <c r="J681" i="9"/>
  <c r="F681" i="9" s="1"/>
  <c r="N681" i="9"/>
  <c r="F682" i="9"/>
  <c r="S682" i="9"/>
  <c r="F683" i="9"/>
  <c r="S683" i="9" s="1"/>
  <c r="F684" i="9"/>
  <c r="S684" i="9"/>
  <c r="F685" i="9"/>
  <c r="S685" i="9" s="1"/>
  <c r="F686" i="9"/>
  <c r="N686" i="9"/>
  <c r="P686" i="9"/>
  <c r="P690" i="9" s="1"/>
  <c r="R686" i="9"/>
  <c r="H687" i="9"/>
  <c r="F687" i="9" s="1"/>
  <c r="S687" i="9" s="1"/>
  <c r="J687" i="9"/>
  <c r="N687" i="9"/>
  <c r="F688" i="9"/>
  <c r="S688" i="9" s="1"/>
  <c r="S689" i="9"/>
  <c r="H690" i="9"/>
  <c r="F690" i="9" s="1"/>
  <c r="K690" i="9"/>
  <c r="M690" i="9"/>
  <c r="O690" i="9"/>
  <c r="Q690" i="9"/>
  <c r="S691" i="9"/>
  <c r="S693" i="9"/>
  <c r="S694" i="9"/>
  <c r="S695" i="9"/>
  <c r="S696" i="9"/>
  <c r="S697" i="9"/>
  <c r="S698" i="9"/>
  <c r="F699" i="9"/>
  <c r="S699" i="9"/>
  <c r="S700" i="9"/>
  <c r="H701" i="9"/>
  <c r="F701" i="9" s="1"/>
  <c r="S701" i="9" s="1"/>
  <c r="J701" i="9"/>
  <c r="L701" i="9"/>
  <c r="N701" i="9"/>
  <c r="P701" i="9"/>
  <c r="R701" i="9"/>
  <c r="S702" i="9"/>
  <c r="S703" i="9"/>
  <c r="S704" i="9"/>
  <c r="F705" i="9"/>
  <c r="S705" i="9" s="1"/>
  <c r="P705" i="9"/>
  <c r="S706" i="9"/>
  <c r="S707" i="9"/>
  <c r="F708" i="9"/>
  <c r="S708" i="9"/>
  <c r="F709" i="9"/>
  <c r="S709" i="9"/>
  <c r="S710" i="9"/>
  <c r="H711" i="9"/>
  <c r="J711" i="9"/>
  <c r="J733" i="9" s="1"/>
  <c r="J779" i="9" s="1"/>
  <c r="L711" i="9"/>
  <c r="N711" i="9"/>
  <c r="P711" i="9"/>
  <c r="P733" i="9" s="1"/>
  <c r="R711" i="9"/>
  <c r="R733" i="9" s="1"/>
  <c r="R779" i="9" s="1"/>
  <c r="S712" i="9"/>
  <c r="S713" i="9"/>
  <c r="F714" i="9"/>
  <c r="S714" i="9" s="1"/>
  <c r="J714" i="9"/>
  <c r="S715" i="9"/>
  <c r="F716" i="9"/>
  <c r="S716" i="9" s="1"/>
  <c r="H716" i="9"/>
  <c r="F717" i="9"/>
  <c r="S717" i="9" s="1"/>
  <c r="P717" i="9"/>
  <c r="P724" i="9" s="1"/>
  <c r="F718" i="9"/>
  <c r="P718" i="9"/>
  <c r="S718" i="9"/>
  <c r="F719" i="9"/>
  <c r="P719" i="9"/>
  <c r="S719" i="9"/>
  <c r="F720" i="9"/>
  <c r="S720" i="9" s="1"/>
  <c r="L720" i="9"/>
  <c r="H721" i="9"/>
  <c r="J721" i="9"/>
  <c r="N721" i="9"/>
  <c r="N724" i="9" s="1"/>
  <c r="N733" i="9" s="1"/>
  <c r="N779" i="9" s="1"/>
  <c r="P721" i="9"/>
  <c r="H722" i="9"/>
  <c r="F722" i="9" s="1"/>
  <c r="S722" i="9" s="1"/>
  <c r="S723" i="9"/>
  <c r="J724" i="9"/>
  <c r="L724" i="9"/>
  <c r="L733" i="9" s="1"/>
  <c r="R724" i="9"/>
  <c r="S725" i="9"/>
  <c r="S726" i="9"/>
  <c r="F727" i="9"/>
  <c r="S727" i="9"/>
  <c r="F728" i="9"/>
  <c r="N728" i="9"/>
  <c r="S728" i="9"/>
  <c r="F729" i="9"/>
  <c r="S729" i="9" s="1"/>
  <c r="S730" i="9"/>
  <c r="H731" i="9"/>
  <c r="F731" i="9" s="1"/>
  <c r="J731" i="9"/>
  <c r="L731" i="9"/>
  <c r="N731" i="9"/>
  <c r="P731" i="9"/>
  <c r="R731" i="9"/>
  <c r="S732" i="9"/>
  <c r="S734" i="9"/>
  <c r="S735" i="9"/>
  <c r="S736" i="9"/>
  <c r="F737" i="9"/>
  <c r="S737" i="9"/>
  <c r="F738" i="9"/>
  <c r="S738" i="9"/>
  <c r="F739" i="9"/>
  <c r="P739" i="9"/>
  <c r="F740" i="9"/>
  <c r="S740" i="9" s="1"/>
  <c r="N740" i="9"/>
  <c r="P740" i="9"/>
  <c r="S741" i="9"/>
  <c r="H742" i="9"/>
  <c r="F742" i="9" s="1"/>
  <c r="J742" i="9"/>
  <c r="L742" i="9"/>
  <c r="N742" i="9"/>
  <c r="P742" i="9"/>
  <c r="R742" i="9"/>
  <c r="S743" i="9"/>
  <c r="S744" i="9"/>
  <c r="S745" i="9"/>
  <c r="F746" i="9"/>
  <c r="S746" i="9"/>
  <c r="F747" i="9"/>
  <c r="S747" i="9" s="1"/>
  <c r="S748" i="9"/>
  <c r="L749" i="9"/>
  <c r="S750" i="9"/>
  <c r="H751" i="9"/>
  <c r="J751" i="9"/>
  <c r="N751" i="9"/>
  <c r="P751" i="9"/>
  <c r="R751" i="9"/>
  <c r="S752" i="9"/>
  <c r="S753" i="9"/>
  <c r="F754" i="9"/>
  <c r="P754" i="9"/>
  <c r="S754" i="9"/>
  <c r="F755" i="9"/>
  <c r="S755" i="9" s="1"/>
  <c r="S756" i="9"/>
  <c r="H757" i="9"/>
  <c r="F757" i="9" s="1"/>
  <c r="J757" i="9"/>
  <c r="L757" i="9"/>
  <c r="N757" i="9"/>
  <c r="P757" i="9"/>
  <c r="R757" i="9"/>
  <c r="S758" i="9"/>
  <c r="S759" i="9"/>
  <c r="S760" i="9"/>
  <c r="S761" i="9"/>
  <c r="F762" i="9"/>
  <c r="S762" i="9"/>
  <c r="S763" i="9"/>
  <c r="F764" i="9"/>
  <c r="S764" i="9"/>
  <c r="F765" i="9"/>
  <c r="S765" i="9" s="1"/>
  <c r="S766" i="9"/>
  <c r="H767" i="9"/>
  <c r="F767" i="9" s="1"/>
  <c r="S767" i="9" s="1"/>
  <c r="J767" i="9"/>
  <c r="L767" i="9"/>
  <c r="N767" i="9"/>
  <c r="P767" i="9"/>
  <c r="R767" i="9"/>
  <c r="S768" i="9"/>
  <c r="F769" i="9"/>
  <c r="S769" i="9" s="1"/>
  <c r="R769" i="9"/>
  <c r="S770" i="9"/>
  <c r="F771" i="9"/>
  <c r="S771" i="9" s="1"/>
  <c r="S772" i="9"/>
  <c r="S773" i="9"/>
  <c r="F774" i="9"/>
  <c r="H774" i="9"/>
  <c r="J774" i="9"/>
  <c r="L774" i="9"/>
  <c r="N774" i="9"/>
  <c r="P774" i="9"/>
  <c r="S775" i="9"/>
  <c r="S776" i="9"/>
  <c r="F777" i="9"/>
  <c r="S777" i="9"/>
  <c r="S778" i="9"/>
  <c r="S780" i="9"/>
  <c r="S781" i="9"/>
  <c r="S782" i="9"/>
  <c r="S783" i="9"/>
  <c r="S784" i="9"/>
  <c r="F785" i="9"/>
  <c r="S785" i="9"/>
  <c r="S786" i="9"/>
  <c r="F787" i="9"/>
  <c r="S787" i="9" s="1"/>
  <c r="S788" i="9"/>
  <c r="F789" i="9"/>
  <c r="S789" i="9"/>
  <c r="F790" i="9"/>
  <c r="S790" i="9"/>
  <c r="F791" i="9"/>
  <c r="S791" i="9"/>
  <c r="S792" i="9"/>
  <c r="F793" i="9"/>
  <c r="S793" i="9"/>
  <c r="S794" i="9"/>
  <c r="F795" i="9"/>
  <c r="S795" i="9"/>
  <c r="F796" i="9"/>
  <c r="S796" i="9"/>
  <c r="F797" i="9"/>
  <c r="P797" i="9"/>
  <c r="P813" i="9" s="1"/>
  <c r="S797" i="9"/>
  <c r="S798" i="9"/>
  <c r="F799" i="9"/>
  <c r="S799" i="9"/>
  <c r="F800" i="9"/>
  <c r="S800" i="9"/>
  <c r="F801" i="9"/>
  <c r="S801" i="9"/>
  <c r="F802" i="9"/>
  <c r="S802" i="9"/>
  <c r="S803" i="9"/>
  <c r="F804" i="9"/>
  <c r="N804" i="9"/>
  <c r="S804" i="9"/>
  <c r="L805" i="9"/>
  <c r="F805" i="9" s="1"/>
  <c r="S805" i="9" s="1"/>
  <c r="S806" i="9"/>
  <c r="F807" i="9"/>
  <c r="S807" i="9"/>
  <c r="F808" i="9"/>
  <c r="S808" i="9"/>
  <c r="L809" i="9"/>
  <c r="F809" i="9" s="1"/>
  <c r="S809" i="9" s="1"/>
  <c r="S810" i="9"/>
  <c r="F811" i="9"/>
  <c r="S811" i="9"/>
  <c r="S812" i="9"/>
  <c r="F813" i="9"/>
  <c r="H813" i="9"/>
  <c r="J813" i="9"/>
  <c r="L813" i="9"/>
  <c r="N813" i="9"/>
  <c r="R813" i="9"/>
  <c r="S814" i="9"/>
  <c r="F815" i="9"/>
  <c r="S815" i="9"/>
  <c r="S816" i="9"/>
  <c r="S817" i="9"/>
  <c r="F818" i="9"/>
  <c r="S818" i="9"/>
  <c r="F819" i="9"/>
  <c r="S819" i="9"/>
  <c r="F820" i="9"/>
  <c r="S820" i="9"/>
  <c r="S821" i="9"/>
  <c r="F822" i="9"/>
  <c r="H822" i="9"/>
  <c r="J822" i="9"/>
  <c r="L822" i="9"/>
  <c r="N822" i="9"/>
  <c r="P822" i="9"/>
  <c r="R822" i="9"/>
  <c r="S823" i="9"/>
  <c r="S824" i="9"/>
  <c r="F825" i="9"/>
  <c r="P825" i="9"/>
  <c r="P830" i="9" s="1"/>
  <c r="S825" i="9"/>
  <c r="F826" i="9"/>
  <c r="S826" i="9"/>
  <c r="F827" i="9"/>
  <c r="S827" i="9"/>
  <c r="F828" i="9"/>
  <c r="N828" i="9"/>
  <c r="N830" i="9" s="1"/>
  <c r="N910" i="9" s="1"/>
  <c r="S828" i="9"/>
  <c r="S829" i="9"/>
  <c r="H830" i="9"/>
  <c r="F830" i="9" s="1"/>
  <c r="J830" i="9"/>
  <c r="L830" i="9"/>
  <c r="R830" i="9"/>
  <c r="S831" i="9"/>
  <c r="F832" i="9"/>
  <c r="S832" i="9"/>
  <c r="S833" i="9"/>
  <c r="F834" i="9"/>
  <c r="S834" i="9"/>
  <c r="S835" i="9"/>
  <c r="S836" i="9"/>
  <c r="F837" i="9"/>
  <c r="S837" i="9"/>
  <c r="S838" i="9"/>
  <c r="F839" i="9"/>
  <c r="S839" i="9" s="1"/>
  <c r="S840" i="9"/>
  <c r="S841" i="9"/>
  <c r="F842" i="9"/>
  <c r="S842" i="9" s="1"/>
  <c r="S843" i="9"/>
  <c r="F844" i="9"/>
  <c r="S844" i="9" s="1"/>
  <c r="R844" i="9"/>
  <c r="F845" i="9"/>
  <c r="S845" i="9"/>
  <c r="F846" i="9"/>
  <c r="S846" i="9" s="1"/>
  <c r="F847" i="9"/>
  <c r="S847" i="9"/>
  <c r="S848" i="9"/>
  <c r="H849" i="9"/>
  <c r="F849" i="9" s="1"/>
  <c r="S849" i="9" s="1"/>
  <c r="J849" i="9"/>
  <c r="L849" i="9"/>
  <c r="N849" i="9"/>
  <c r="P849" i="9"/>
  <c r="R849" i="9"/>
  <c r="S850" i="9"/>
  <c r="S851" i="9"/>
  <c r="S852" i="9"/>
  <c r="F853" i="9"/>
  <c r="S853" i="9" s="1"/>
  <c r="S854" i="9"/>
  <c r="S855" i="9"/>
  <c r="F856" i="9"/>
  <c r="S856" i="9" s="1"/>
  <c r="H857" i="9"/>
  <c r="F857" i="9" s="1"/>
  <c r="S857" i="9"/>
  <c r="S858" i="9"/>
  <c r="J859" i="9"/>
  <c r="J910" i="9" s="1"/>
  <c r="L859" i="9"/>
  <c r="N859" i="9"/>
  <c r="P859" i="9"/>
  <c r="R859" i="9"/>
  <c r="R910" i="9" s="1"/>
  <c r="S860" i="9"/>
  <c r="S861" i="9"/>
  <c r="F862" i="9"/>
  <c r="S862" i="9" s="1"/>
  <c r="F863" i="9"/>
  <c r="S863" i="9"/>
  <c r="F864" i="9"/>
  <c r="S864" i="9" s="1"/>
  <c r="H865" i="9"/>
  <c r="J865" i="9"/>
  <c r="N865" i="9"/>
  <c r="R865" i="9"/>
  <c r="S866" i="9"/>
  <c r="J867" i="9"/>
  <c r="L867" i="9"/>
  <c r="L910" i="9" s="1"/>
  <c r="N867" i="9"/>
  <c r="P867" i="9"/>
  <c r="R867" i="9"/>
  <c r="S868" i="9"/>
  <c r="S869" i="9"/>
  <c r="F870" i="9"/>
  <c r="S870" i="9"/>
  <c r="S871" i="9"/>
  <c r="H872" i="9"/>
  <c r="J872" i="9"/>
  <c r="L872" i="9"/>
  <c r="N872" i="9"/>
  <c r="P872" i="9"/>
  <c r="R872" i="9"/>
  <c r="S873" i="9"/>
  <c r="S874" i="9"/>
  <c r="F875" i="9"/>
  <c r="S875" i="9" s="1"/>
  <c r="R875" i="9"/>
  <c r="F876" i="9"/>
  <c r="S876" i="9" s="1"/>
  <c r="S877" i="9"/>
  <c r="H878" i="9"/>
  <c r="J878" i="9"/>
  <c r="L878" i="9"/>
  <c r="N878" i="9"/>
  <c r="P878" i="9"/>
  <c r="R878" i="9"/>
  <c r="S879" i="9"/>
  <c r="F880" i="9"/>
  <c r="S880" i="9"/>
  <c r="S881" i="9"/>
  <c r="S882" i="9"/>
  <c r="F883" i="9"/>
  <c r="S883" i="9"/>
  <c r="F884" i="9"/>
  <c r="S884" i="9"/>
  <c r="J885" i="9"/>
  <c r="F885" i="9" s="1"/>
  <c r="S885" i="9" s="1"/>
  <c r="F886" i="9"/>
  <c r="S886" i="9" s="1"/>
  <c r="S887" i="9"/>
  <c r="H888" i="9"/>
  <c r="J888" i="9"/>
  <c r="L888" i="9"/>
  <c r="N888" i="9"/>
  <c r="P888" i="9"/>
  <c r="R888" i="9"/>
  <c r="S889" i="9"/>
  <c r="F890" i="9"/>
  <c r="N890" i="9"/>
  <c r="R890" i="9"/>
  <c r="S891" i="9"/>
  <c r="F892" i="9"/>
  <c r="S892" i="9"/>
  <c r="S893" i="9"/>
  <c r="F894" i="9"/>
  <c r="P894" i="9"/>
  <c r="S894" i="9"/>
  <c r="S895" i="9"/>
  <c r="S896" i="9"/>
  <c r="F897" i="9"/>
  <c r="S897" i="9"/>
  <c r="F898" i="9"/>
  <c r="S898" i="9"/>
  <c r="F899" i="9"/>
  <c r="S899" i="9"/>
  <c r="F900" i="9"/>
  <c r="S900" i="9"/>
  <c r="S901" i="9"/>
  <c r="F902" i="9"/>
  <c r="S902" i="9" s="1"/>
  <c r="H902" i="9"/>
  <c r="J902" i="9"/>
  <c r="L902" i="9"/>
  <c r="N902" i="9"/>
  <c r="P902" i="9"/>
  <c r="R902" i="9"/>
  <c r="S903" i="9"/>
  <c r="S904" i="9"/>
  <c r="L905" i="9"/>
  <c r="F905" i="9" s="1"/>
  <c r="S905" i="9" s="1"/>
  <c r="P905" i="9"/>
  <c r="S906" i="9"/>
  <c r="S907" i="9"/>
  <c r="F908" i="9"/>
  <c r="S908" i="9" s="1"/>
  <c r="S909" i="9"/>
  <c r="P910" i="9"/>
  <c r="S911" i="9"/>
  <c r="S912" i="9"/>
  <c r="S913" i="9"/>
  <c r="S914" i="9"/>
  <c r="J915" i="9"/>
  <c r="F915" i="9" s="1"/>
  <c r="S915" i="9" s="1"/>
  <c r="S916" i="9"/>
  <c r="S917" i="9"/>
  <c r="F918" i="9"/>
  <c r="S918" i="9" s="1"/>
  <c r="F919" i="9"/>
  <c r="S919" i="9"/>
  <c r="F920" i="9"/>
  <c r="S920" i="9" s="1"/>
  <c r="P920" i="9"/>
  <c r="H921" i="9"/>
  <c r="F921" i="9" s="1"/>
  <c r="S921" i="9" s="1"/>
  <c r="R921" i="9"/>
  <c r="F922" i="9"/>
  <c r="S922" i="9" s="1"/>
  <c r="N922" i="9"/>
  <c r="N931" i="9" s="1"/>
  <c r="F923" i="9"/>
  <c r="S923" i="9" s="1"/>
  <c r="N923" i="9"/>
  <c r="P923" i="9"/>
  <c r="P931" i="9" s="1"/>
  <c r="R923" i="9"/>
  <c r="F924" i="9"/>
  <c r="S924" i="9"/>
  <c r="H925" i="9"/>
  <c r="F925" i="9" s="1"/>
  <c r="S925" i="9" s="1"/>
  <c r="L925" i="9"/>
  <c r="L931" i="9" s="1"/>
  <c r="F926" i="9"/>
  <c r="P926" i="9"/>
  <c r="S926" i="9"/>
  <c r="F927" i="9"/>
  <c r="S927" i="9" s="1"/>
  <c r="F928" i="9"/>
  <c r="S928" i="9"/>
  <c r="S929" i="9"/>
  <c r="S930" i="9"/>
  <c r="J931" i="9"/>
  <c r="R931" i="9"/>
  <c r="S932" i="9"/>
  <c r="F933" i="9"/>
  <c r="S933" i="9"/>
  <c r="S934" i="9"/>
  <c r="F935" i="9"/>
  <c r="S935" i="9"/>
  <c r="S936" i="9"/>
  <c r="H937" i="9"/>
  <c r="F937" i="9" s="1"/>
  <c r="S937" i="9" s="1"/>
  <c r="J937" i="9"/>
  <c r="L937" i="9"/>
  <c r="N937" i="9"/>
  <c r="P937" i="9"/>
  <c r="R937" i="9"/>
  <c r="S938" i="9"/>
  <c r="S939" i="9"/>
  <c r="S940" i="9"/>
  <c r="F941" i="9"/>
  <c r="S941" i="9" s="1"/>
  <c r="S942" i="9"/>
  <c r="F943" i="9"/>
  <c r="S943" i="9"/>
  <c r="S944" i="9"/>
  <c r="F945" i="9"/>
  <c r="S945" i="9"/>
  <c r="S946" i="9"/>
  <c r="F947" i="9"/>
  <c r="P947" i="9"/>
  <c r="P956" i="9" s="1"/>
  <c r="S947" i="9"/>
  <c r="S948" i="9"/>
  <c r="F949" i="9"/>
  <c r="S949" i="9"/>
  <c r="S950" i="9"/>
  <c r="F951" i="9"/>
  <c r="S951" i="9" s="1"/>
  <c r="S952" i="9"/>
  <c r="S953" i="9"/>
  <c r="F954" i="9"/>
  <c r="S954" i="9" s="1"/>
  <c r="L954" i="9"/>
  <c r="S955" i="9"/>
  <c r="F956" i="9"/>
  <c r="H956" i="9"/>
  <c r="J956" i="9"/>
  <c r="L956" i="9"/>
  <c r="N956" i="9"/>
  <c r="R956" i="9"/>
  <c r="S957" i="9"/>
  <c r="S958" i="9"/>
  <c r="F961" i="9"/>
  <c r="S961" i="9"/>
  <c r="S962" i="9"/>
  <c r="F963" i="9"/>
  <c r="S963" i="9"/>
  <c r="S964" i="9"/>
  <c r="S966" i="9"/>
  <c r="F17" i="9" l="1"/>
  <c r="H36" i="9"/>
  <c r="S956" i="9"/>
  <c r="S742" i="9"/>
  <c r="S387" i="9"/>
  <c r="N389" i="9"/>
  <c r="S389" i="9" s="1"/>
  <c r="S362" i="9"/>
  <c r="P377" i="9"/>
  <c r="P394" i="9" s="1"/>
  <c r="H931" i="9"/>
  <c r="F931" i="9" s="1"/>
  <c r="S931" i="9" s="1"/>
  <c r="F878" i="9"/>
  <c r="S878" i="9" s="1"/>
  <c r="S830" i="9"/>
  <c r="S822" i="9"/>
  <c r="S757" i="9"/>
  <c r="F751" i="9"/>
  <c r="S751" i="9" s="1"/>
  <c r="P779" i="9"/>
  <c r="S686" i="9"/>
  <c r="F649" i="9"/>
  <c r="S649" i="9" s="1"/>
  <c r="J651" i="9"/>
  <c r="F651" i="9" s="1"/>
  <c r="S651" i="9" s="1"/>
  <c r="P692" i="9"/>
  <c r="F619" i="9"/>
  <c r="S619" i="9" s="1"/>
  <c r="F610" i="9"/>
  <c r="S610" i="9" s="1"/>
  <c r="H621" i="9"/>
  <c r="S890" i="9"/>
  <c r="F872" i="9"/>
  <c r="S872" i="9" s="1"/>
  <c r="S739" i="9"/>
  <c r="S731" i="9"/>
  <c r="H724" i="9"/>
  <c r="F724" i="9" s="1"/>
  <c r="S724" i="9" s="1"/>
  <c r="F721" i="9"/>
  <c r="S721" i="9" s="1"/>
  <c r="S681" i="9"/>
  <c r="J621" i="9"/>
  <c r="S602" i="9"/>
  <c r="N621" i="9"/>
  <c r="F576" i="9"/>
  <c r="S576" i="9" s="1"/>
  <c r="L621" i="9"/>
  <c r="L692" i="9" s="1"/>
  <c r="S453" i="9"/>
  <c r="P455" i="9"/>
  <c r="P479" i="9" s="1"/>
  <c r="F888" i="9"/>
  <c r="S888" i="9" s="1"/>
  <c r="F865" i="9"/>
  <c r="S865" i="9" s="1"/>
  <c r="H867" i="9"/>
  <c r="F867" i="9" s="1"/>
  <c r="S867" i="9" s="1"/>
  <c r="H859" i="9"/>
  <c r="S813" i="9"/>
  <c r="S774" i="9"/>
  <c r="L751" i="9"/>
  <c r="L779" i="9" s="1"/>
  <c r="F749" i="9"/>
  <c r="S749" i="9" s="1"/>
  <c r="N690" i="9"/>
  <c r="S690" i="9" s="1"/>
  <c r="F665" i="9"/>
  <c r="S665" i="9" s="1"/>
  <c r="S414" i="9"/>
  <c r="N416" i="9"/>
  <c r="F404" i="9"/>
  <c r="S404" i="9" s="1"/>
  <c r="S563" i="9"/>
  <c r="S487" i="9"/>
  <c r="F440" i="9"/>
  <c r="S440" i="9" s="1"/>
  <c r="H428" i="9"/>
  <c r="F428" i="9" s="1"/>
  <c r="S428" i="9" s="1"/>
  <c r="F421" i="9"/>
  <c r="S421" i="9" s="1"/>
  <c r="F303" i="9"/>
  <c r="S303" i="9" s="1"/>
  <c r="H314" i="9"/>
  <c r="F711" i="9"/>
  <c r="S711" i="9" s="1"/>
  <c r="F506" i="9"/>
  <c r="S506" i="9" s="1"/>
  <c r="J531" i="9"/>
  <c r="F489" i="9"/>
  <c r="S489" i="9" s="1"/>
  <c r="S458" i="9"/>
  <c r="F455" i="9"/>
  <c r="S455" i="9" s="1"/>
  <c r="S436" i="9"/>
  <c r="S416" i="9"/>
  <c r="L404" i="9"/>
  <c r="F402" i="9"/>
  <c r="S402" i="9" s="1"/>
  <c r="H377" i="9"/>
  <c r="F366" i="9"/>
  <c r="S366" i="9" s="1"/>
  <c r="H531" i="9"/>
  <c r="H479" i="9"/>
  <c r="F472" i="9"/>
  <c r="S472" i="9" s="1"/>
  <c r="J475" i="9"/>
  <c r="J479" i="9" s="1"/>
  <c r="F469" i="9"/>
  <c r="S469" i="9" s="1"/>
  <c r="S461" i="9"/>
  <c r="N479" i="9"/>
  <c r="F438" i="9"/>
  <c r="S438" i="9" s="1"/>
  <c r="J440" i="9"/>
  <c r="H347" i="9"/>
  <c r="S369" i="9"/>
  <c r="S331" i="9"/>
  <c r="S294" i="9"/>
  <c r="N314" i="9"/>
  <c r="N347" i="9" s="1"/>
  <c r="S198" i="9"/>
  <c r="F125" i="9"/>
  <c r="S125" i="9" s="1"/>
  <c r="L137" i="9"/>
  <c r="H102" i="9"/>
  <c r="F92" i="9"/>
  <c r="S92" i="9" s="1"/>
  <c r="H66" i="9"/>
  <c r="F64" i="9"/>
  <c r="S64" i="9" s="1"/>
  <c r="N70" i="9"/>
  <c r="S59" i="9"/>
  <c r="S24" i="9"/>
  <c r="S344" i="9"/>
  <c r="S326" i="9"/>
  <c r="J314" i="9"/>
  <c r="F304" i="9"/>
  <c r="S304" i="9" s="1"/>
  <c r="J266" i="9"/>
  <c r="F235" i="9"/>
  <c r="S235" i="9" s="1"/>
  <c r="S189" i="9"/>
  <c r="F128" i="9"/>
  <c r="S128" i="9" s="1"/>
  <c r="J135" i="9"/>
  <c r="S17" i="9"/>
  <c r="S357" i="9"/>
  <c r="L314" i="9"/>
  <c r="F271" i="9"/>
  <c r="S271" i="9" s="1"/>
  <c r="P266" i="9"/>
  <c r="P347" i="9" s="1"/>
  <c r="L266" i="9"/>
  <c r="F256" i="9"/>
  <c r="S256" i="9" s="1"/>
  <c r="S197" i="9"/>
  <c r="F163" i="9"/>
  <c r="S163" i="9" s="1"/>
  <c r="S131" i="9"/>
  <c r="R135" i="9"/>
  <c r="R137" i="9" s="1"/>
  <c r="R959" i="9" s="1"/>
  <c r="R965" i="9" s="1"/>
  <c r="S119" i="9"/>
  <c r="S50" i="9"/>
  <c r="F20" i="9"/>
  <c r="J31" i="9"/>
  <c r="J36" i="9" s="1"/>
  <c r="F950" i="8"/>
  <c r="F948" i="8"/>
  <c r="R943" i="8"/>
  <c r="P943" i="8"/>
  <c r="N943" i="8"/>
  <c r="L943" i="8"/>
  <c r="F943" i="8" s="1"/>
  <c r="J943" i="8"/>
  <c r="H943" i="8"/>
  <c r="F941" i="8"/>
  <c r="F938" i="8"/>
  <c r="F936" i="8"/>
  <c r="F934" i="8"/>
  <c r="F932" i="8"/>
  <c r="F930" i="8"/>
  <c r="F928" i="8"/>
  <c r="R924" i="8"/>
  <c r="P924" i="8"/>
  <c r="N924" i="8"/>
  <c r="L924" i="8"/>
  <c r="J924" i="8"/>
  <c r="H924" i="8"/>
  <c r="F924" i="8" s="1"/>
  <c r="F922" i="8"/>
  <c r="F920" i="8"/>
  <c r="R918" i="8"/>
  <c r="P918" i="8"/>
  <c r="N918" i="8"/>
  <c r="L918" i="8"/>
  <c r="J918" i="8"/>
  <c r="H918" i="8"/>
  <c r="F918" i="8" s="1"/>
  <c r="F915" i="8"/>
  <c r="F914" i="8"/>
  <c r="F913" i="8"/>
  <c r="F912" i="8"/>
  <c r="F911" i="8"/>
  <c r="F910" i="8"/>
  <c r="F909" i="8"/>
  <c r="F908" i="8"/>
  <c r="F907" i="8"/>
  <c r="F906" i="8"/>
  <c r="F905" i="8"/>
  <c r="F898" i="8"/>
  <c r="R895" i="8"/>
  <c r="P895" i="8"/>
  <c r="N895" i="8"/>
  <c r="L895" i="8"/>
  <c r="J895" i="8"/>
  <c r="H895" i="8"/>
  <c r="F895" i="8"/>
  <c r="F893" i="8"/>
  <c r="F892" i="8"/>
  <c r="F891" i="8"/>
  <c r="F890" i="8"/>
  <c r="F887" i="8"/>
  <c r="F885" i="8"/>
  <c r="F883" i="8"/>
  <c r="R881" i="8"/>
  <c r="P881" i="8"/>
  <c r="N881" i="8"/>
  <c r="L881" i="8"/>
  <c r="J881" i="8"/>
  <c r="F881" i="8" s="1"/>
  <c r="H881" i="8"/>
  <c r="F879" i="8"/>
  <c r="F878" i="8"/>
  <c r="F877" i="8"/>
  <c r="F876" i="8"/>
  <c r="F873" i="8"/>
  <c r="R871" i="8"/>
  <c r="P871" i="8"/>
  <c r="N871" i="8"/>
  <c r="L871" i="8"/>
  <c r="J871" i="8"/>
  <c r="F871" i="8" s="1"/>
  <c r="H871" i="8"/>
  <c r="F869" i="8"/>
  <c r="F868" i="8"/>
  <c r="F865" i="8"/>
  <c r="R863" i="8"/>
  <c r="P863" i="8"/>
  <c r="N863" i="8"/>
  <c r="L863" i="8"/>
  <c r="J863" i="8"/>
  <c r="H863" i="8"/>
  <c r="F863" i="8"/>
  <c r="F861" i="8"/>
  <c r="F860" i="8"/>
  <c r="F859" i="8"/>
  <c r="F858" i="8"/>
  <c r="F857" i="8"/>
  <c r="F856" i="8"/>
  <c r="F855" i="8"/>
  <c r="F854" i="8"/>
  <c r="R851" i="8"/>
  <c r="P851" i="8"/>
  <c r="N851" i="8"/>
  <c r="L851" i="8"/>
  <c r="F851" i="8" s="1"/>
  <c r="J851" i="8"/>
  <c r="H851" i="8"/>
  <c r="F849" i="8"/>
  <c r="F848" i="8"/>
  <c r="F845" i="8"/>
  <c r="R842" i="8"/>
  <c r="P842" i="8"/>
  <c r="N842" i="8"/>
  <c r="L842" i="8"/>
  <c r="J842" i="8"/>
  <c r="H842" i="8"/>
  <c r="F842" i="8" s="1"/>
  <c r="F840" i="8"/>
  <c r="F839" i="8"/>
  <c r="F838" i="8"/>
  <c r="F837" i="8"/>
  <c r="F835" i="8"/>
  <c r="F832" i="8"/>
  <c r="F830" i="8"/>
  <c r="F827" i="8"/>
  <c r="F825" i="8"/>
  <c r="R823" i="8"/>
  <c r="P823" i="8"/>
  <c r="N823" i="8"/>
  <c r="L823" i="8"/>
  <c r="J823" i="8"/>
  <c r="H823" i="8"/>
  <c r="F823" i="8" s="1"/>
  <c r="F821" i="8"/>
  <c r="F820" i="8"/>
  <c r="F819" i="8"/>
  <c r="F818" i="8"/>
  <c r="R815" i="8"/>
  <c r="P815" i="8"/>
  <c r="P900" i="8" s="1"/>
  <c r="N815" i="8"/>
  <c r="N900" i="8" s="1"/>
  <c r="L815" i="8"/>
  <c r="J815" i="8"/>
  <c r="H815" i="8"/>
  <c r="H900" i="8" s="1"/>
  <c r="F815" i="8"/>
  <c r="F813" i="8"/>
  <c r="F812" i="8"/>
  <c r="F811" i="8"/>
  <c r="F808" i="8"/>
  <c r="R806" i="8"/>
  <c r="R900" i="8" s="1"/>
  <c r="P806" i="8"/>
  <c r="N806" i="8"/>
  <c r="L806" i="8"/>
  <c r="L900" i="8" s="1"/>
  <c r="J806" i="8"/>
  <c r="J900" i="8" s="1"/>
  <c r="H806" i="8"/>
  <c r="F804" i="8"/>
  <c r="F802" i="8"/>
  <c r="F801" i="8"/>
  <c r="F800" i="8"/>
  <c r="F798" i="8"/>
  <c r="F797" i="8"/>
  <c r="F795" i="8"/>
  <c r="F794" i="8"/>
  <c r="F793" i="8"/>
  <c r="F792" i="8"/>
  <c r="F790" i="8"/>
  <c r="F789" i="8"/>
  <c r="F788" i="8"/>
  <c r="F786" i="8"/>
  <c r="F784" i="8"/>
  <c r="F783" i="8"/>
  <c r="F782" i="8"/>
  <c r="F780" i="8"/>
  <c r="F778" i="8"/>
  <c r="F770" i="8"/>
  <c r="F767" i="8"/>
  <c r="F765" i="8"/>
  <c r="F763" i="8"/>
  <c r="R761" i="8"/>
  <c r="P761" i="8"/>
  <c r="N761" i="8"/>
  <c r="L761" i="8"/>
  <c r="J761" i="8"/>
  <c r="H761" i="8"/>
  <c r="F761" i="8"/>
  <c r="F759" i="8"/>
  <c r="F758" i="8"/>
  <c r="F756" i="8"/>
  <c r="R751" i="8"/>
  <c r="P751" i="8"/>
  <c r="N751" i="8"/>
  <c r="L751" i="8"/>
  <c r="J751" i="8"/>
  <c r="H751" i="8"/>
  <c r="F751" i="8" s="1"/>
  <c r="F749" i="8"/>
  <c r="F748" i="8"/>
  <c r="R745" i="8"/>
  <c r="P745" i="8"/>
  <c r="N745" i="8"/>
  <c r="L745" i="8"/>
  <c r="F745" i="8" s="1"/>
  <c r="J745" i="8"/>
  <c r="H745" i="8"/>
  <c r="F743" i="8"/>
  <c r="F741" i="8"/>
  <c r="F740" i="8"/>
  <c r="R736" i="8"/>
  <c r="P736" i="8"/>
  <c r="N736" i="8"/>
  <c r="L736" i="8"/>
  <c r="J736" i="8"/>
  <c r="H736" i="8"/>
  <c r="F736" i="8" s="1"/>
  <c r="F734" i="8"/>
  <c r="F733" i="8"/>
  <c r="F732" i="8"/>
  <c r="F731" i="8"/>
  <c r="F730" i="8"/>
  <c r="R724" i="8"/>
  <c r="P724" i="8"/>
  <c r="N724" i="8"/>
  <c r="L724" i="8"/>
  <c r="J724" i="8"/>
  <c r="H724" i="8"/>
  <c r="F724" i="8"/>
  <c r="F722" i="8"/>
  <c r="F721" i="8"/>
  <c r="F720" i="8"/>
  <c r="R717" i="8"/>
  <c r="P717" i="8"/>
  <c r="N717" i="8"/>
  <c r="L717" i="8"/>
  <c r="J717" i="8"/>
  <c r="H717" i="8"/>
  <c r="F717" i="8" s="1"/>
  <c r="F715" i="8"/>
  <c r="F714" i="8"/>
  <c r="F713" i="8"/>
  <c r="F712" i="8"/>
  <c r="F711" i="8"/>
  <c r="F710" i="8"/>
  <c r="F709" i="8"/>
  <c r="F707" i="8"/>
  <c r="R704" i="8"/>
  <c r="R726" i="8" s="1"/>
  <c r="R772" i="8" s="1"/>
  <c r="P704" i="8"/>
  <c r="P726" i="8" s="1"/>
  <c r="P772" i="8" s="1"/>
  <c r="N704" i="8"/>
  <c r="N726" i="8" s="1"/>
  <c r="L704" i="8"/>
  <c r="L726" i="8" s="1"/>
  <c r="J704" i="8"/>
  <c r="J726" i="8" s="1"/>
  <c r="J772" i="8" s="1"/>
  <c r="H704" i="8"/>
  <c r="F704" i="8" s="1"/>
  <c r="F702" i="8"/>
  <c r="F701" i="8"/>
  <c r="F698" i="8"/>
  <c r="R694" i="8"/>
  <c r="P694" i="8"/>
  <c r="N694" i="8"/>
  <c r="N772" i="8" s="1"/>
  <c r="L694" i="8"/>
  <c r="L772" i="8" s="1"/>
  <c r="J694" i="8"/>
  <c r="H694" i="8"/>
  <c r="F692" i="8"/>
  <c r="F690" i="8"/>
  <c r="F689" i="8"/>
  <c r="F688" i="8"/>
  <c r="R680" i="8"/>
  <c r="Q680" i="8"/>
  <c r="P680" i="8"/>
  <c r="O680" i="8"/>
  <c r="N680" i="8"/>
  <c r="M680" i="8"/>
  <c r="L680" i="8"/>
  <c r="K680" i="8"/>
  <c r="J680" i="8"/>
  <c r="H680" i="8"/>
  <c r="F680" i="8" s="1"/>
  <c r="F678" i="8"/>
  <c r="F677" i="8"/>
  <c r="F676" i="8"/>
  <c r="F675" i="8"/>
  <c r="F674" i="8"/>
  <c r="F673" i="8"/>
  <c r="F672" i="8"/>
  <c r="F671" i="8"/>
  <c r="F670" i="8"/>
  <c r="F669" i="8"/>
  <c r="F667" i="8"/>
  <c r="F666" i="8"/>
  <c r="F665" i="8"/>
  <c r="F664" i="8"/>
  <c r="F662" i="8"/>
  <c r="F661" i="8"/>
  <c r="F660" i="8"/>
  <c r="F659" i="8"/>
  <c r="F658" i="8"/>
  <c r="F657" i="8"/>
  <c r="F656" i="8"/>
  <c r="F654" i="8"/>
  <c r="F653" i="8"/>
  <c r="F652" i="8"/>
  <c r="F651" i="8"/>
  <c r="F650" i="8"/>
  <c r="F648" i="8"/>
  <c r="F647" i="8"/>
  <c r="F646" i="8"/>
  <c r="F645" i="8"/>
  <c r="R642" i="8"/>
  <c r="R682" i="8" s="1"/>
  <c r="P642" i="8"/>
  <c r="N642" i="8"/>
  <c r="L642" i="8"/>
  <c r="L682" i="8" s="1"/>
  <c r="J642" i="8"/>
  <c r="J682" i="8" s="1"/>
  <c r="H642" i="8"/>
  <c r="F642" i="8" s="1"/>
  <c r="F640" i="8"/>
  <c r="F639" i="8"/>
  <c r="F638" i="8"/>
  <c r="F637" i="8"/>
  <c r="F636" i="8"/>
  <c r="F635" i="8"/>
  <c r="F634" i="8"/>
  <c r="F633" i="8"/>
  <c r="F632" i="8"/>
  <c r="F631" i="8"/>
  <c r="F630" i="8"/>
  <c r="F629" i="8"/>
  <c r="F628" i="8"/>
  <c r="F626" i="8"/>
  <c r="F625" i="8"/>
  <c r="F623" i="8"/>
  <c r="F622" i="8"/>
  <c r="F620" i="8"/>
  <c r="F619" i="8"/>
  <c r="F618" i="8"/>
  <c r="F617" i="8"/>
  <c r="F616" i="8"/>
  <c r="F615" i="8"/>
  <c r="F613" i="8"/>
  <c r="R610" i="8"/>
  <c r="P610" i="8"/>
  <c r="N610" i="8"/>
  <c r="L610" i="8"/>
  <c r="J610" i="8"/>
  <c r="H610" i="8"/>
  <c r="F610" i="8" s="1"/>
  <c r="F608" i="8"/>
  <c r="F607" i="8"/>
  <c r="F605" i="8"/>
  <c r="F604" i="8"/>
  <c r="F603" i="8"/>
  <c r="F602" i="8"/>
  <c r="F601" i="8"/>
  <c r="F600" i="8"/>
  <c r="F599" i="8"/>
  <c r="F598" i="8"/>
  <c r="F597" i="8"/>
  <c r="F596" i="8"/>
  <c r="F595" i="8"/>
  <c r="F594" i="8"/>
  <c r="F593" i="8"/>
  <c r="F592" i="8"/>
  <c r="F591" i="8"/>
  <c r="F590" i="8"/>
  <c r="F588" i="8"/>
  <c r="F587" i="8"/>
  <c r="F586" i="8"/>
  <c r="F584" i="8"/>
  <c r="F583" i="8"/>
  <c r="F581" i="8"/>
  <c r="F580" i="8"/>
  <c r="F578" i="8"/>
  <c r="F576" i="8"/>
  <c r="F575" i="8"/>
  <c r="F574" i="8"/>
  <c r="F573" i="8"/>
  <c r="F572" i="8"/>
  <c r="F570" i="8"/>
  <c r="F568" i="8"/>
  <c r="F567" i="8"/>
  <c r="F566" i="8"/>
  <c r="F565" i="8"/>
  <c r="F564" i="8"/>
  <c r="F563" i="8"/>
  <c r="F562" i="8"/>
  <c r="F561" i="8"/>
  <c r="F560" i="8"/>
  <c r="F559" i="8"/>
  <c r="F558" i="8"/>
  <c r="F557" i="8"/>
  <c r="F556" i="8"/>
  <c r="F555" i="8"/>
  <c r="F554" i="8"/>
  <c r="F552" i="8"/>
  <c r="F551" i="8"/>
  <c r="F550" i="8"/>
  <c r="F549" i="8"/>
  <c r="F548" i="8"/>
  <c r="F546" i="8"/>
  <c r="F544" i="8"/>
  <c r="F542" i="8"/>
  <c r="F540" i="8"/>
  <c r="F538" i="8"/>
  <c r="F536" i="8"/>
  <c r="F535" i="8"/>
  <c r="F534" i="8"/>
  <c r="F532" i="8"/>
  <c r="F530" i="8"/>
  <c r="F529" i="8"/>
  <c r="F528" i="8"/>
  <c r="F527" i="8"/>
  <c r="F526" i="8"/>
  <c r="F524" i="8"/>
  <c r="F523" i="8"/>
  <c r="F522" i="8"/>
  <c r="R519" i="8"/>
  <c r="P519" i="8"/>
  <c r="P682" i="8" s="1"/>
  <c r="N519" i="8"/>
  <c r="N682" i="8" s="1"/>
  <c r="L519" i="8"/>
  <c r="J519" i="8"/>
  <c r="H519" i="8"/>
  <c r="H682" i="8" s="1"/>
  <c r="F682" i="8" s="1"/>
  <c r="F517" i="8"/>
  <c r="F516" i="8"/>
  <c r="F515" i="8"/>
  <c r="F513" i="8"/>
  <c r="F512" i="8"/>
  <c r="F511" i="8"/>
  <c r="F510" i="8"/>
  <c r="F509" i="8"/>
  <c r="F508" i="8"/>
  <c r="F507" i="8"/>
  <c r="F506" i="8"/>
  <c r="F505" i="8"/>
  <c r="F504" i="8"/>
  <c r="F503" i="8"/>
  <c r="F502" i="8"/>
  <c r="F500" i="8"/>
  <c r="F499" i="8"/>
  <c r="F494" i="8"/>
  <c r="F490" i="8"/>
  <c r="R486" i="8"/>
  <c r="P486" i="8"/>
  <c r="N486" i="8"/>
  <c r="L486" i="8"/>
  <c r="F486" i="8" s="1"/>
  <c r="J486" i="8"/>
  <c r="H486" i="8"/>
  <c r="F484" i="8"/>
  <c r="F482" i="8"/>
  <c r="F480" i="8"/>
  <c r="R476" i="8"/>
  <c r="F474" i="8"/>
  <c r="R472" i="8"/>
  <c r="P472" i="8"/>
  <c r="P476" i="8" s="1"/>
  <c r="N472" i="8"/>
  <c r="L472" i="8"/>
  <c r="J472" i="8"/>
  <c r="J476" i="8" s="1"/>
  <c r="H472" i="8"/>
  <c r="F472" i="8" s="1"/>
  <c r="F470" i="8"/>
  <c r="F469" i="8"/>
  <c r="F468" i="8"/>
  <c r="R465" i="8"/>
  <c r="P465" i="8"/>
  <c r="N465" i="8"/>
  <c r="L465" i="8"/>
  <c r="F465" i="8" s="1"/>
  <c r="J465" i="8"/>
  <c r="H465" i="8"/>
  <c r="F463" i="8"/>
  <c r="F462" i="8"/>
  <c r="F461" i="8"/>
  <c r="F460" i="8"/>
  <c r="F459" i="8"/>
  <c r="F458" i="8"/>
  <c r="F457" i="8"/>
  <c r="F456" i="8"/>
  <c r="F455" i="8"/>
  <c r="F454" i="8"/>
  <c r="R451" i="8"/>
  <c r="P451" i="8"/>
  <c r="N451" i="8"/>
  <c r="N476" i="8" s="1"/>
  <c r="L451" i="8"/>
  <c r="L476" i="8" s="1"/>
  <c r="J451" i="8"/>
  <c r="H451" i="8"/>
  <c r="F451" i="8"/>
  <c r="F449" i="8"/>
  <c r="F448" i="8"/>
  <c r="F447" i="8"/>
  <c r="F446" i="8"/>
  <c r="F445" i="8"/>
  <c r="F444" i="8"/>
  <c r="F443" i="8"/>
  <c r="F442" i="8"/>
  <c r="R437" i="8"/>
  <c r="P437" i="8"/>
  <c r="N437" i="8"/>
  <c r="L437" i="8"/>
  <c r="F437" i="8" s="1"/>
  <c r="J437" i="8"/>
  <c r="H437" i="8"/>
  <c r="F435" i="8"/>
  <c r="F433" i="8"/>
  <c r="F431" i="8"/>
  <c r="F429" i="8"/>
  <c r="R425" i="8"/>
  <c r="P425" i="8"/>
  <c r="N425" i="8"/>
  <c r="L425" i="8"/>
  <c r="J425" i="8"/>
  <c r="H425" i="8"/>
  <c r="F425" i="8" s="1"/>
  <c r="F422" i="8"/>
  <c r="F420" i="8"/>
  <c r="F418" i="8"/>
  <c r="R413" i="8"/>
  <c r="P413" i="8"/>
  <c r="N413" i="8"/>
  <c r="L413" i="8"/>
  <c r="J413" i="8"/>
  <c r="H413" i="8"/>
  <c r="F413" i="8"/>
  <c r="F411" i="8"/>
  <c r="F409" i="8"/>
  <c r="F407" i="8"/>
  <c r="F405" i="8"/>
  <c r="R401" i="8"/>
  <c r="P401" i="8"/>
  <c r="N401" i="8"/>
  <c r="L401" i="8"/>
  <c r="F401" i="8" s="1"/>
  <c r="J401" i="8"/>
  <c r="H401" i="8"/>
  <c r="F399" i="8"/>
  <c r="F397" i="8"/>
  <c r="F395" i="8"/>
  <c r="F387" i="8"/>
  <c r="R385" i="8"/>
  <c r="P385" i="8"/>
  <c r="P390" i="8" s="1"/>
  <c r="N385" i="8"/>
  <c r="L385" i="8"/>
  <c r="J385" i="8"/>
  <c r="H385" i="8"/>
  <c r="F385" i="8" s="1"/>
  <c r="F383" i="8"/>
  <c r="F382" i="8"/>
  <c r="F381" i="8"/>
  <c r="F380" i="8"/>
  <c r="F379" i="8"/>
  <c r="F377" i="8"/>
  <c r="R374" i="8"/>
  <c r="R390" i="8" s="1"/>
  <c r="P374" i="8"/>
  <c r="N374" i="8"/>
  <c r="N390" i="8" s="1"/>
  <c r="L374" i="8"/>
  <c r="L390" i="8" s="1"/>
  <c r="J374" i="8"/>
  <c r="J390" i="8" s="1"/>
  <c r="H374" i="8"/>
  <c r="F374" i="8" s="1"/>
  <c r="F372" i="8"/>
  <c r="F370" i="8"/>
  <c r="F369" i="8"/>
  <c r="F368" i="8"/>
  <c r="F367" i="8"/>
  <c r="F366" i="8"/>
  <c r="F365" i="8"/>
  <c r="F364" i="8"/>
  <c r="F362" i="8"/>
  <c r="F361" i="8"/>
  <c r="F360" i="8"/>
  <c r="R355" i="8"/>
  <c r="P355" i="8"/>
  <c r="N355" i="8"/>
  <c r="L355" i="8"/>
  <c r="J355" i="8"/>
  <c r="H355" i="8"/>
  <c r="F355" i="8"/>
  <c r="F352" i="8"/>
  <c r="F350" i="8"/>
  <c r="P345" i="8"/>
  <c r="H345" i="8"/>
  <c r="F345" i="8" s="1"/>
  <c r="R342" i="8"/>
  <c r="P342" i="8"/>
  <c r="N342" i="8"/>
  <c r="L342" i="8"/>
  <c r="J342" i="8"/>
  <c r="H342" i="8"/>
  <c r="F342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5" i="8"/>
  <c r="R322" i="8"/>
  <c r="R345" i="8" s="1"/>
  <c r="P322" i="8"/>
  <c r="N322" i="8"/>
  <c r="L322" i="8"/>
  <c r="J322" i="8"/>
  <c r="J345" i="8" s="1"/>
  <c r="H322" i="8"/>
  <c r="F322" i="8" s="1"/>
  <c r="F320" i="8"/>
  <c r="F319" i="8"/>
  <c r="F318" i="8"/>
  <c r="F317" i="8"/>
  <c r="F316" i="8"/>
  <c r="F315" i="8"/>
  <c r="F314" i="8"/>
  <c r="R311" i="8"/>
  <c r="P311" i="8"/>
  <c r="N311" i="8"/>
  <c r="L311" i="8"/>
  <c r="J311" i="8"/>
  <c r="H311" i="8"/>
  <c r="F311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R262" i="8"/>
  <c r="P262" i="8"/>
  <c r="N262" i="8"/>
  <c r="N345" i="8" s="1"/>
  <c r="L262" i="8"/>
  <c r="L345" i="8" s="1"/>
  <c r="J262" i="8"/>
  <c r="H262" i="8"/>
  <c r="F262" i="8"/>
  <c r="F260" i="8"/>
  <c r="F259" i="8"/>
  <c r="F258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6" i="8"/>
  <c r="F225" i="8"/>
  <c r="F223" i="8"/>
  <c r="F222" i="8"/>
  <c r="F221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4" i="8"/>
  <c r="F203" i="8"/>
  <c r="F202" i="8"/>
  <c r="F201" i="8"/>
  <c r="F200" i="8"/>
  <c r="F198" i="8"/>
  <c r="F197" i="8"/>
  <c r="F196" i="8"/>
  <c r="F195" i="8"/>
  <c r="F194" i="8"/>
  <c r="F193" i="8"/>
  <c r="F192" i="8"/>
  <c r="F191" i="8"/>
  <c r="F190" i="8"/>
  <c r="F188" i="8"/>
  <c r="R183" i="8"/>
  <c r="P183" i="8"/>
  <c r="N183" i="8"/>
  <c r="L183" i="8"/>
  <c r="J183" i="8"/>
  <c r="H183" i="8"/>
  <c r="F183" i="8"/>
  <c r="F181" i="8"/>
  <c r="F179" i="8"/>
  <c r="F177" i="8"/>
  <c r="R173" i="8"/>
  <c r="P173" i="8"/>
  <c r="N173" i="8"/>
  <c r="L173" i="8"/>
  <c r="J173" i="8"/>
  <c r="F173" i="8" s="1"/>
  <c r="H173" i="8"/>
  <c r="F170" i="8"/>
  <c r="F168" i="8"/>
  <c r="F166" i="8"/>
  <c r="F164" i="8"/>
  <c r="F156" i="8"/>
  <c r="R154" i="8"/>
  <c r="R159" i="8" s="1"/>
  <c r="P154" i="8"/>
  <c r="P159" i="8" s="1"/>
  <c r="N154" i="8"/>
  <c r="L154" i="8"/>
  <c r="J154" i="8"/>
  <c r="J159" i="8" s="1"/>
  <c r="H154" i="8"/>
  <c r="F154" i="8" s="1"/>
  <c r="F152" i="8"/>
  <c r="F150" i="8"/>
  <c r="F149" i="8"/>
  <c r="R146" i="8"/>
  <c r="P146" i="8"/>
  <c r="N146" i="8"/>
  <c r="N159" i="8" s="1"/>
  <c r="L146" i="8"/>
  <c r="L159" i="8" s="1"/>
  <c r="J146" i="8"/>
  <c r="H146" i="8"/>
  <c r="F144" i="8"/>
  <c r="F142" i="8"/>
  <c r="F141" i="8"/>
  <c r="F140" i="8"/>
  <c r="R134" i="8"/>
  <c r="J134" i="8"/>
  <c r="R132" i="8"/>
  <c r="P132" i="8"/>
  <c r="N132" i="8"/>
  <c r="L132" i="8"/>
  <c r="J132" i="8"/>
  <c r="H132" i="8"/>
  <c r="F132" i="8" s="1"/>
  <c r="F130" i="8"/>
  <c r="F129" i="8"/>
  <c r="F128" i="8"/>
  <c r="F127" i="8"/>
  <c r="F125" i="8"/>
  <c r="F124" i="8"/>
  <c r="F121" i="8"/>
  <c r="R119" i="8"/>
  <c r="P119" i="8"/>
  <c r="N119" i="8"/>
  <c r="N134" i="8" s="1"/>
  <c r="L119" i="8"/>
  <c r="L134" i="8" s="1"/>
  <c r="J119" i="8"/>
  <c r="H119" i="8"/>
  <c r="F117" i="8"/>
  <c r="F116" i="8"/>
  <c r="F115" i="8"/>
  <c r="F114" i="8"/>
  <c r="F112" i="8"/>
  <c r="F110" i="8"/>
  <c r="F109" i="8"/>
  <c r="F107" i="8"/>
  <c r="F106" i="8"/>
  <c r="F105" i="8"/>
  <c r="F104" i="8"/>
  <c r="R101" i="8"/>
  <c r="P101" i="8"/>
  <c r="P134" i="8" s="1"/>
  <c r="N101" i="8"/>
  <c r="L101" i="8"/>
  <c r="J101" i="8"/>
  <c r="H101" i="8"/>
  <c r="H134" i="8" s="1"/>
  <c r="F99" i="8"/>
  <c r="F98" i="8"/>
  <c r="F97" i="8"/>
  <c r="F96" i="8"/>
  <c r="F94" i="8"/>
  <c r="F93" i="8"/>
  <c r="F91" i="8"/>
  <c r="F90" i="8"/>
  <c r="F89" i="8"/>
  <c r="R84" i="8"/>
  <c r="P84" i="8"/>
  <c r="N84" i="8"/>
  <c r="L84" i="8"/>
  <c r="J84" i="8"/>
  <c r="H84" i="8"/>
  <c r="F84" i="8" s="1"/>
  <c r="F82" i="8"/>
  <c r="F80" i="8"/>
  <c r="F78" i="8"/>
  <c r="F76" i="8"/>
  <c r="F70" i="8"/>
  <c r="R68" i="8"/>
  <c r="P68" i="8"/>
  <c r="P72" i="8" s="1"/>
  <c r="N68" i="8"/>
  <c r="N72" i="8" s="1"/>
  <c r="L68" i="8"/>
  <c r="J68" i="8"/>
  <c r="H68" i="8"/>
  <c r="H72" i="8" s="1"/>
  <c r="F68" i="8"/>
  <c r="F66" i="8"/>
  <c r="F65" i="8"/>
  <c r="F64" i="8"/>
  <c r="R61" i="8"/>
  <c r="R72" i="8" s="1"/>
  <c r="P61" i="8"/>
  <c r="N61" i="8"/>
  <c r="L61" i="8"/>
  <c r="L72" i="8" s="1"/>
  <c r="J61" i="8"/>
  <c r="F61" i="8" s="1"/>
  <c r="H61" i="8"/>
  <c r="F59" i="8"/>
  <c r="F58" i="8"/>
  <c r="F57" i="8"/>
  <c r="R52" i="8"/>
  <c r="P52" i="8"/>
  <c r="N52" i="8"/>
  <c r="L52" i="8"/>
  <c r="J52" i="8"/>
  <c r="H52" i="8"/>
  <c r="F52" i="8"/>
  <c r="F49" i="8"/>
  <c r="F47" i="8"/>
  <c r="F45" i="8"/>
  <c r="F43" i="8"/>
  <c r="O38" i="8"/>
  <c r="L38" i="8"/>
  <c r="K38" i="8"/>
  <c r="I38" i="8"/>
  <c r="F35" i="8"/>
  <c r="Q33" i="8"/>
  <c r="Q38" i="8" s="1"/>
  <c r="O33" i="8"/>
  <c r="M33" i="8"/>
  <c r="M38" i="8" s="1"/>
  <c r="F33" i="8"/>
  <c r="R31" i="8"/>
  <c r="P31" i="8"/>
  <c r="N31" i="8"/>
  <c r="L31" i="8"/>
  <c r="J31" i="8"/>
  <c r="H31" i="8"/>
  <c r="F29" i="8"/>
  <c r="F27" i="8"/>
  <c r="F26" i="8"/>
  <c r="F25" i="8"/>
  <c r="F24" i="8"/>
  <c r="F23" i="8"/>
  <c r="F22" i="8"/>
  <c r="F21" i="8"/>
  <c r="F31" i="8" s="1"/>
  <c r="F20" i="8"/>
  <c r="R17" i="8"/>
  <c r="R38" i="8" s="1"/>
  <c r="P17" i="8"/>
  <c r="P38" i="8" s="1"/>
  <c r="N17" i="8"/>
  <c r="N38" i="8" s="1"/>
  <c r="N946" i="8" s="1"/>
  <c r="N952" i="8" s="1"/>
  <c r="L17" i="8"/>
  <c r="J17" i="8"/>
  <c r="J38" i="8" s="1"/>
  <c r="H17" i="8"/>
  <c r="H38" i="8" s="1"/>
  <c r="F17" i="8"/>
  <c r="F15" i="8"/>
  <c r="F13" i="8"/>
  <c r="F12" i="8"/>
  <c r="F11" i="8"/>
  <c r="F10" i="8"/>
  <c r="F9" i="8"/>
  <c r="F8" i="8"/>
  <c r="H70" i="9" l="1"/>
  <c r="F66" i="9"/>
  <c r="S66" i="9" s="1"/>
  <c r="F314" i="9"/>
  <c r="S314" i="9" s="1"/>
  <c r="F31" i="9"/>
  <c r="S20" i="9"/>
  <c r="L347" i="9"/>
  <c r="J692" i="9"/>
  <c r="F621" i="9"/>
  <c r="S621" i="9" s="1"/>
  <c r="P959" i="9"/>
  <c r="P965" i="9" s="1"/>
  <c r="N959" i="9"/>
  <c r="N965" i="9" s="1"/>
  <c r="H137" i="9"/>
  <c r="F137" i="9" s="1"/>
  <c r="S137" i="9" s="1"/>
  <c r="F102" i="9"/>
  <c r="S102" i="9" s="1"/>
  <c r="N394" i="9"/>
  <c r="F479" i="9"/>
  <c r="S479" i="9" s="1"/>
  <c r="F859" i="9"/>
  <c r="S859" i="9" s="1"/>
  <c r="H910" i="9"/>
  <c r="F910" i="9" s="1"/>
  <c r="S910" i="9" s="1"/>
  <c r="N692" i="9"/>
  <c r="H733" i="9"/>
  <c r="J959" i="9"/>
  <c r="J965" i="9" s="1"/>
  <c r="F347" i="9"/>
  <c r="S347" i="9" s="1"/>
  <c r="F266" i="9"/>
  <c r="S266" i="9" s="1"/>
  <c r="F377" i="9"/>
  <c r="S377" i="9" s="1"/>
  <c r="H394" i="9"/>
  <c r="F394" i="9" s="1"/>
  <c r="S394" i="9" s="1"/>
  <c r="F135" i="9"/>
  <c r="S135" i="9" s="1"/>
  <c r="J137" i="9"/>
  <c r="J347" i="9"/>
  <c r="L959" i="9"/>
  <c r="L965" i="9" s="1"/>
  <c r="F531" i="9"/>
  <c r="S531" i="9" s="1"/>
  <c r="H692" i="9"/>
  <c r="F475" i="9"/>
  <c r="S475" i="9" s="1"/>
  <c r="P946" i="8"/>
  <c r="P952" i="8" s="1"/>
  <c r="F134" i="8"/>
  <c r="F38" i="8"/>
  <c r="L946" i="8"/>
  <c r="L952" i="8" s="1"/>
  <c r="J946" i="8"/>
  <c r="J952" i="8" s="1"/>
  <c r="F900" i="8"/>
  <c r="R946" i="8"/>
  <c r="R952" i="8" s="1"/>
  <c r="F72" i="8"/>
  <c r="H159" i="8"/>
  <c r="F159" i="8" s="1"/>
  <c r="F119" i="8"/>
  <c r="F806" i="8"/>
  <c r="H390" i="8"/>
  <c r="F390" i="8" s="1"/>
  <c r="F694" i="8"/>
  <c r="J72" i="8"/>
  <c r="H476" i="8"/>
  <c r="F476" i="8" s="1"/>
  <c r="H726" i="8"/>
  <c r="F146" i="8"/>
  <c r="F101" i="8"/>
  <c r="F519" i="8"/>
  <c r="F962" i="7"/>
  <c r="F960" i="7"/>
  <c r="R955" i="7"/>
  <c r="P955" i="7"/>
  <c r="N955" i="7"/>
  <c r="L955" i="7"/>
  <c r="J955" i="7"/>
  <c r="H955" i="7"/>
  <c r="F955" i="7" s="1"/>
  <c r="F953" i="7"/>
  <c r="F950" i="7"/>
  <c r="F948" i="7"/>
  <c r="F946" i="7"/>
  <c r="F944" i="7"/>
  <c r="F942" i="7"/>
  <c r="F940" i="7"/>
  <c r="R936" i="7"/>
  <c r="P936" i="7"/>
  <c r="N936" i="7"/>
  <c r="L936" i="7"/>
  <c r="F936" i="7" s="1"/>
  <c r="J936" i="7"/>
  <c r="H936" i="7"/>
  <c r="F934" i="7"/>
  <c r="F932" i="7"/>
  <c r="R930" i="7"/>
  <c r="P930" i="7"/>
  <c r="N930" i="7"/>
  <c r="L930" i="7"/>
  <c r="J930" i="7"/>
  <c r="H930" i="7"/>
  <c r="F930" i="7"/>
  <c r="F927" i="7"/>
  <c r="F926" i="7"/>
  <c r="F925" i="7"/>
  <c r="F924" i="7"/>
  <c r="F923" i="7"/>
  <c r="F922" i="7"/>
  <c r="F921" i="7"/>
  <c r="F920" i="7"/>
  <c r="F919" i="7"/>
  <c r="F918" i="7"/>
  <c r="F917" i="7"/>
  <c r="F910" i="7"/>
  <c r="R907" i="7"/>
  <c r="P907" i="7"/>
  <c r="N907" i="7"/>
  <c r="L907" i="7"/>
  <c r="J907" i="7"/>
  <c r="F907" i="7" s="1"/>
  <c r="H907" i="7"/>
  <c r="F905" i="7"/>
  <c r="F904" i="7"/>
  <c r="F903" i="7"/>
  <c r="F902" i="7"/>
  <c r="F899" i="7"/>
  <c r="F897" i="7"/>
  <c r="F895" i="7"/>
  <c r="R893" i="7"/>
  <c r="P893" i="7"/>
  <c r="N893" i="7"/>
  <c r="L893" i="7"/>
  <c r="J893" i="7"/>
  <c r="H893" i="7"/>
  <c r="F893" i="7"/>
  <c r="F891" i="7"/>
  <c r="F890" i="7"/>
  <c r="F889" i="7"/>
  <c r="F888" i="7"/>
  <c r="F885" i="7"/>
  <c r="R883" i="7"/>
  <c r="P883" i="7"/>
  <c r="N883" i="7"/>
  <c r="L883" i="7"/>
  <c r="J883" i="7"/>
  <c r="H883" i="7"/>
  <c r="F883" i="7"/>
  <c r="F881" i="7"/>
  <c r="F880" i="7"/>
  <c r="F877" i="7"/>
  <c r="R875" i="7"/>
  <c r="P875" i="7"/>
  <c r="N875" i="7"/>
  <c r="L875" i="7"/>
  <c r="J875" i="7"/>
  <c r="F875" i="7" s="1"/>
  <c r="H875" i="7"/>
  <c r="F873" i="7"/>
  <c r="F872" i="7"/>
  <c r="F871" i="7"/>
  <c r="F870" i="7"/>
  <c r="F869" i="7"/>
  <c r="F868" i="7"/>
  <c r="F867" i="7"/>
  <c r="R863" i="7"/>
  <c r="P863" i="7"/>
  <c r="N863" i="7"/>
  <c r="L863" i="7"/>
  <c r="J863" i="7"/>
  <c r="H863" i="7"/>
  <c r="F863" i="7"/>
  <c r="F861" i="7"/>
  <c r="F860" i="7"/>
  <c r="F857" i="7"/>
  <c r="R854" i="7"/>
  <c r="P854" i="7"/>
  <c r="N854" i="7"/>
  <c r="L854" i="7"/>
  <c r="J854" i="7"/>
  <c r="F854" i="7" s="1"/>
  <c r="H854" i="7"/>
  <c r="F852" i="7"/>
  <c r="F851" i="7"/>
  <c r="F850" i="7"/>
  <c r="F849" i="7"/>
  <c r="F847" i="7"/>
  <c r="F844" i="7"/>
  <c r="F842" i="7"/>
  <c r="F839" i="7"/>
  <c r="F837" i="7"/>
  <c r="R835" i="7"/>
  <c r="R912" i="7" s="1"/>
  <c r="P835" i="7"/>
  <c r="N835" i="7"/>
  <c r="L835" i="7"/>
  <c r="L912" i="7" s="1"/>
  <c r="J835" i="7"/>
  <c r="J912" i="7" s="1"/>
  <c r="H835" i="7"/>
  <c r="F833" i="7"/>
  <c r="F832" i="7"/>
  <c r="F831" i="7"/>
  <c r="F830" i="7"/>
  <c r="R827" i="7"/>
  <c r="P827" i="7"/>
  <c r="N827" i="7"/>
  <c r="L827" i="7"/>
  <c r="J827" i="7"/>
  <c r="H827" i="7"/>
  <c r="F827" i="7" s="1"/>
  <c r="F825" i="7"/>
  <c r="F824" i="7"/>
  <c r="F823" i="7"/>
  <c r="F820" i="7"/>
  <c r="R818" i="7"/>
  <c r="P818" i="7"/>
  <c r="P912" i="7" s="1"/>
  <c r="N818" i="7"/>
  <c r="N912" i="7" s="1"/>
  <c r="L818" i="7"/>
  <c r="J818" i="7"/>
  <c r="H818" i="7"/>
  <c r="H912" i="7" s="1"/>
  <c r="F818" i="7"/>
  <c r="F816" i="7"/>
  <c r="F814" i="7"/>
  <c r="F813" i="7"/>
  <c r="F812" i="7"/>
  <c r="F810" i="7"/>
  <c r="F809" i="7"/>
  <c r="F807" i="7"/>
  <c r="F806" i="7"/>
  <c r="F805" i="7"/>
  <c r="F804" i="7"/>
  <c r="F802" i="7"/>
  <c r="F800" i="7"/>
  <c r="F798" i="7"/>
  <c r="F797" i="7"/>
  <c r="F796" i="7"/>
  <c r="F794" i="7"/>
  <c r="F792" i="7"/>
  <c r="F784" i="7"/>
  <c r="F781" i="7"/>
  <c r="F779" i="7"/>
  <c r="F776" i="7"/>
  <c r="R774" i="7"/>
  <c r="P774" i="7"/>
  <c r="N774" i="7"/>
  <c r="L774" i="7"/>
  <c r="F774" i="7" s="1"/>
  <c r="J774" i="7"/>
  <c r="H774" i="7"/>
  <c r="F772" i="7"/>
  <c r="F771" i="7"/>
  <c r="F769" i="7"/>
  <c r="R764" i="7"/>
  <c r="P764" i="7"/>
  <c r="N764" i="7"/>
  <c r="L764" i="7"/>
  <c r="J764" i="7"/>
  <c r="H764" i="7"/>
  <c r="F764" i="7" s="1"/>
  <c r="F762" i="7"/>
  <c r="F761" i="7"/>
  <c r="R758" i="7"/>
  <c r="P758" i="7"/>
  <c r="N758" i="7"/>
  <c r="L758" i="7"/>
  <c r="J758" i="7"/>
  <c r="F758" i="7" s="1"/>
  <c r="H758" i="7"/>
  <c r="F756" i="7"/>
  <c r="F754" i="7"/>
  <c r="F753" i="7"/>
  <c r="R749" i="7"/>
  <c r="P749" i="7"/>
  <c r="N749" i="7"/>
  <c r="L749" i="7"/>
  <c r="J749" i="7"/>
  <c r="H749" i="7"/>
  <c r="F749" i="7"/>
  <c r="F747" i="7"/>
  <c r="F746" i="7"/>
  <c r="F745" i="7"/>
  <c r="F744" i="7"/>
  <c r="F743" i="7"/>
  <c r="R737" i="7"/>
  <c r="P737" i="7"/>
  <c r="N737" i="7"/>
  <c r="L737" i="7"/>
  <c r="F737" i="7" s="1"/>
  <c r="J737" i="7"/>
  <c r="H737" i="7"/>
  <c r="F735" i="7"/>
  <c r="F734" i="7"/>
  <c r="F733" i="7"/>
  <c r="R730" i="7"/>
  <c r="P730" i="7"/>
  <c r="N730" i="7"/>
  <c r="L730" i="7"/>
  <c r="J730" i="7"/>
  <c r="H730" i="7"/>
  <c r="F730" i="7" s="1"/>
  <c r="F728" i="7"/>
  <c r="F727" i="7"/>
  <c r="F726" i="7"/>
  <c r="F725" i="7"/>
  <c r="F724" i="7"/>
  <c r="F723" i="7"/>
  <c r="F722" i="7"/>
  <c r="F720" i="7"/>
  <c r="R717" i="7"/>
  <c r="R739" i="7" s="1"/>
  <c r="P717" i="7"/>
  <c r="P739" i="7" s="1"/>
  <c r="P786" i="7" s="1"/>
  <c r="N717" i="7"/>
  <c r="N739" i="7" s="1"/>
  <c r="N786" i="7" s="1"/>
  <c r="L717" i="7"/>
  <c r="L739" i="7" s="1"/>
  <c r="J717" i="7"/>
  <c r="J739" i="7" s="1"/>
  <c r="H717" i="7"/>
  <c r="H739" i="7" s="1"/>
  <c r="F717" i="7"/>
  <c r="F715" i="7"/>
  <c r="F714" i="7"/>
  <c r="F711" i="7"/>
  <c r="R707" i="7"/>
  <c r="R786" i="7" s="1"/>
  <c r="P707" i="7"/>
  <c r="N707" i="7"/>
  <c r="L707" i="7"/>
  <c r="J707" i="7"/>
  <c r="J786" i="7" s="1"/>
  <c r="H707" i="7"/>
  <c r="F705" i="7"/>
  <c r="F703" i="7"/>
  <c r="F702" i="7"/>
  <c r="F701" i="7"/>
  <c r="F700" i="7"/>
  <c r="R692" i="7"/>
  <c r="Q692" i="7"/>
  <c r="P692" i="7"/>
  <c r="O692" i="7"/>
  <c r="N692" i="7"/>
  <c r="M692" i="7"/>
  <c r="L692" i="7"/>
  <c r="K692" i="7"/>
  <c r="J692" i="7"/>
  <c r="H692" i="7"/>
  <c r="F692" i="7" s="1"/>
  <c r="F690" i="7"/>
  <c r="F689" i="7"/>
  <c r="F688" i="7"/>
  <c r="F687" i="7"/>
  <c r="F686" i="7"/>
  <c r="F684" i="7"/>
  <c r="F683" i="7"/>
  <c r="F682" i="7"/>
  <c r="F681" i="7"/>
  <c r="F679" i="7"/>
  <c r="F678" i="7"/>
  <c r="F677" i="7"/>
  <c r="F676" i="7"/>
  <c r="F675" i="7"/>
  <c r="F673" i="7"/>
  <c r="F672" i="7"/>
  <c r="F671" i="7"/>
  <c r="F669" i="7"/>
  <c r="F668" i="7"/>
  <c r="F667" i="7"/>
  <c r="F665" i="7"/>
  <c r="F664" i="7"/>
  <c r="F662" i="7"/>
  <c r="F661" i="7"/>
  <c r="F660" i="7"/>
  <c r="F659" i="7"/>
  <c r="F658" i="7"/>
  <c r="R655" i="7"/>
  <c r="P655" i="7"/>
  <c r="N655" i="7"/>
  <c r="L655" i="7"/>
  <c r="F655" i="7" s="1"/>
  <c r="J655" i="7"/>
  <c r="H655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8" i="7"/>
  <c r="F637" i="7"/>
  <c r="F635" i="7"/>
  <c r="F634" i="7"/>
  <c r="F633" i="7"/>
  <c r="F632" i="7"/>
  <c r="F631" i="7"/>
  <c r="F629" i="7"/>
  <c r="R626" i="7"/>
  <c r="P626" i="7"/>
  <c r="N626" i="7"/>
  <c r="L626" i="7"/>
  <c r="J626" i="7"/>
  <c r="H626" i="7"/>
  <c r="F626" i="7"/>
  <c r="F624" i="7"/>
  <c r="F623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5" i="7"/>
  <c r="F604" i="7"/>
  <c r="F603" i="7"/>
  <c r="F601" i="7"/>
  <c r="F600" i="7"/>
  <c r="F598" i="7"/>
  <c r="F597" i="7"/>
  <c r="F595" i="7"/>
  <c r="F593" i="7"/>
  <c r="F592" i="7"/>
  <c r="F591" i="7"/>
  <c r="F590" i="7"/>
  <c r="F589" i="7"/>
  <c r="F587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69" i="7"/>
  <c r="F568" i="7"/>
  <c r="F567" i="7"/>
  <c r="F566" i="7"/>
  <c r="F564" i="7"/>
  <c r="F562" i="7"/>
  <c r="F560" i="7"/>
  <c r="F558" i="7"/>
  <c r="F556" i="7"/>
  <c r="F554" i="7"/>
  <c r="F553" i="7"/>
  <c r="F552" i="7"/>
  <c r="F550" i="7"/>
  <c r="F548" i="7"/>
  <c r="F547" i="7"/>
  <c r="F546" i="7"/>
  <c r="F545" i="7"/>
  <c r="F544" i="7"/>
  <c r="F542" i="7"/>
  <c r="F541" i="7"/>
  <c r="F540" i="7"/>
  <c r="R537" i="7"/>
  <c r="R694" i="7" s="1"/>
  <c r="P537" i="7"/>
  <c r="P694" i="7" s="1"/>
  <c r="N537" i="7"/>
  <c r="N694" i="7" s="1"/>
  <c r="L537" i="7"/>
  <c r="L694" i="7" s="1"/>
  <c r="J537" i="7"/>
  <c r="F537" i="7" s="1"/>
  <c r="H537" i="7"/>
  <c r="H694" i="7" s="1"/>
  <c r="F535" i="7"/>
  <c r="F534" i="7"/>
  <c r="F533" i="7"/>
  <c r="F531" i="7"/>
  <c r="F530" i="7"/>
  <c r="F529" i="7"/>
  <c r="F528" i="7"/>
  <c r="F527" i="7"/>
  <c r="F526" i="7"/>
  <c r="F525" i="7"/>
  <c r="F524" i="7"/>
  <c r="F522" i="7"/>
  <c r="F521" i="7"/>
  <c r="F519" i="7"/>
  <c r="F518" i="7"/>
  <c r="F516" i="7"/>
  <c r="F515" i="7"/>
  <c r="F514" i="7"/>
  <c r="F513" i="7"/>
  <c r="F512" i="7"/>
  <c r="F511" i="7"/>
  <c r="F510" i="7"/>
  <c r="F508" i="7"/>
  <c r="F507" i="7"/>
  <c r="F506" i="7"/>
  <c r="F501" i="7"/>
  <c r="F497" i="7"/>
  <c r="R493" i="7"/>
  <c r="P493" i="7"/>
  <c r="N493" i="7"/>
  <c r="L493" i="7"/>
  <c r="J493" i="7"/>
  <c r="H493" i="7"/>
  <c r="F493" i="7"/>
  <c r="F491" i="7"/>
  <c r="F489" i="7"/>
  <c r="F487" i="7"/>
  <c r="F481" i="7"/>
  <c r="R479" i="7"/>
  <c r="R483" i="7" s="1"/>
  <c r="P479" i="7"/>
  <c r="N479" i="7"/>
  <c r="L479" i="7"/>
  <c r="L483" i="7" s="1"/>
  <c r="J479" i="7"/>
  <c r="F479" i="7" s="1"/>
  <c r="H479" i="7"/>
  <c r="F477" i="7"/>
  <c r="F476" i="7"/>
  <c r="F475" i="7"/>
  <c r="R472" i="7"/>
  <c r="P472" i="7"/>
  <c r="N472" i="7"/>
  <c r="N483" i="7" s="1"/>
  <c r="L472" i="7"/>
  <c r="J472" i="7"/>
  <c r="H472" i="7"/>
  <c r="F472" i="7"/>
  <c r="F470" i="7"/>
  <c r="F469" i="7"/>
  <c r="F468" i="7"/>
  <c r="F467" i="7"/>
  <c r="F466" i="7"/>
  <c r="F465" i="7"/>
  <c r="F464" i="7"/>
  <c r="F463" i="7"/>
  <c r="F462" i="7"/>
  <c r="F461" i="7"/>
  <c r="R458" i="7"/>
  <c r="P458" i="7"/>
  <c r="P483" i="7" s="1"/>
  <c r="N458" i="7"/>
  <c r="L458" i="7"/>
  <c r="J458" i="7"/>
  <c r="H458" i="7"/>
  <c r="H483" i="7" s="1"/>
  <c r="F456" i="7"/>
  <c r="F455" i="7"/>
  <c r="F454" i="7"/>
  <c r="F453" i="7"/>
  <c r="F452" i="7"/>
  <c r="F451" i="7"/>
  <c r="F450" i="7"/>
  <c r="F449" i="7"/>
  <c r="R444" i="7"/>
  <c r="P444" i="7"/>
  <c r="N444" i="7"/>
  <c r="L444" i="7"/>
  <c r="J444" i="7"/>
  <c r="H444" i="7"/>
  <c r="F444" i="7"/>
  <c r="F442" i="7"/>
  <c r="F440" i="7"/>
  <c r="F438" i="7"/>
  <c r="F436" i="7"/>
  <c r="R432" i="7"/>
  <c r="P432" i="7"/>
  <c r="N432" i="7"/>
  <c r="L432" i="7"/>
  <c r="F432" i="7" s="1"/>
  <c r="J432" i="7"/>
  <c r="H432" i="7"/>
  <c r="F429" i="7"/>
  <c r="F427" i="7"/>
  <c r="F425" i="7"/>
  <c r="R420" i="7"/>
  <c r="P420" i="7"/>
  <c r="N420" i="7"/>
  <c r="L420" i="7"/>
  <c r="J420" i="7"/>
  <c r="H420" i="7"/>
  <c r="F420" i="7" s="1"/>
  <c r="F418" i="7"/>
  <c r="F416" i="7"/>
  <c r="F414" i="7"/>
  <c r="F412" i="7"/>
  <c r="R408" i="7"/>
  <c r="P408" i="7"/>
  <c r="N408" i="7"/>
  <c r="L408" i="7"/>
  <c r="J408" i="7"/>
  <c r="H408" i="7"/>
  <c r="F408" i="7"/>
  <c r="F405" i="7"/>
  <c r="F403" i="7"/>
  <c r="F401" i="7"/>
  <c r="F393" i="7"/>
  <c r="R391" i="7"/>
  <c r="R396" i="7" s="1"/>
  <c r="P391" i="7"/>
  <c r="N391" i="7"/>
  <c r="L391" i="7"/>
  <c r="L396" i="7" s="1"/>
  <c r="J391" i="7"/>
  <c r="F391" i="7" s="1"/>
  <c r="H391" i="7"/>
  <c r="F389" i="7"/>
  <c r="F388" i="7"/>
  <c r="F387" i="7"/>
  <c r="F386" i="7"/>
  <c r="F385" i="7"/>
  <c r="F383" i="7"/>
  <c r="F382" i="7"/>
  <c r="R379" i="7"/>
  <c r="P379" i="7"/>
  <c r="P396" i="7" s="1"/>
  <c r="N379" i="7"/>
  <c r="N396" i="7" s="1"/>
  <c r="L379" i="7"/>
  <c r="J379" i="7"/>
  <c r="H379" i="7"/>
  <c r="H396" i="7" s="1"/>
  <c r="F379" i="7"/>
  <c r="F377" i="7"/>
  <c r="F375" i="7"/>
  <c r="F374" i="7"/>
  <c r="F373" i="7"/>
  <c r="F372" i="7"/>
  <c r="F371" i="7"/>
  <c r="F370" i="7"/>
  <c r="F368" i="7"/>
  <c r="F367" i="7"/>
  <c r="F366" i="7"/>
  <c r="R361" i="7"/>
  <c r="P361" i="7"/>
  <c r="N361" i="7"/>
  <c r="L361" i="7"/>
  <c r="J361" i="7"/>
  <c r="H361" i="7"/>
  <c r="F361" i="7" s="1"/>
  <c r="F358" i="7"/>
  <c r="F356" i="7"/>
  <c r="R351" i="7"/>
  <c r="L351" i="7"/>
  <c r="J351" i="7"/>
  <c r="R348" i="7"/>
  <c r="P348" i="7"/>
  <c r="N348" i="7"/>
  <c r="L348" i="7"/>
  <c r="J348" i="7"/>
  <c r="H348" i="7"/>
  <c r="F348" i="7" s="1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1" i="7"/>
  <c r="F330" i="7"/>
  <c r="R327" i="7"/>
  <c r="P327" i="7"/>
  <c r="N327" i="7"/>
  <c r="L327" i="7"/>
  <c r="J327" i="7"/>
  <c r="H327" i="7"/>
  <c r="F327" i="7"/>
  <c r="F325" i="7"/>
  <c r="F324" i="7"/>
  <c r="F323" i="7"/>
  <c r="F322" i="7"/>
  <c r="F321" i="7"/>
  <c r="F320" i="7"/>
  <c r="R317" i="7"/>
  <c r="P317" i="7"/>
  <c r="N317" i="7"/>
  <c r="L317" i="7"/>
  <c r="J317" i="7"/>
  <c r="H317" i="7"/>
  <c r="F317" i="7" s="1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R265" i="7"/>
  <c r="P265" i="7"/>
  <c r="P351" i="7" s="1"/>
  <c r="N265" i="7"/>
  <c r="N351" i="7" s="1"/>
  <c r="L265" i="7"/>
  <c r="J265" i="7"/>
  <c r="H265" i="7"/>
  <c r="H351" i="7" s="1"/>
  <c r="F351" i="7" s="1"/>
  <c r="F265" i="7"/>
  <c r="F263" i="7"/>
  <c r="F262" i="7"/>
  <c r="F261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29" i="7"/>
  <c r="F228" i="7"/>
  <c r="F226" i="7"/>
  <c r="F225" i="7"/>
  <c r="F224" i="7"/>
  <c r="F223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6" i="7"/>
  <c r="F205" i="7"/>
  <c r="F204" i="7"/>
  <c r="F203" i="7"/>
  <c r="F202" i="7"/>
  <c r="F200" i="7"/>
  <c r="F199" i="7"/>
  <c r="F198" i="7"/>
  <c r="F197" i="7"/>
  <c r="F196" i="7"/>
  <c r="F195" i="7"/>
  <c r="F194" i="7"/>
  <c r="F193" i="7"/>
  <c r="F192" i="7"/>
  <c r="F190" i="7"/>
  <c r="R185" i="7"/>
  <c r="P185" i="7"/>
  <c r="N185" i="7"/>
  <c r="L185" i="7"/>
  <c r="J185" i="7"/>
  <c r="H185" i="7"/>
  <c r="F185" i="7" s="1"/>
  <c r="F183" i="7"/>
  <c r="F181" i="7"/>
  <c r="F179" i="7"/>
  <c r="R175" i="7"/>
  <c r="P175" i="7"/>
  <c r="N175" i="7"/>
  <c r="L175" i="7"/>
  <c r="F175" i="7" s="1"/>
  <c r="J175" i="7"/>
  <c r="H175" i="7"/>
  <c r="F172" i="7"/>
  <c r="F170" i="7"/>
  <c r="F168" i="7"/>
  <c r="F166" i="7"/>
  <c r="F158" i="7"/>
  <c r="R156" i="7"/>
  <c r="R161" i="7" s="1"/>
  <c r="P156" i="7"/>
  <c r="N156" i="7"/>
  <c r="L156" i="7"/>
  <c r="J156" i="7"/>
  <c r="F156" i="7" s="1"/>
  <c r="H156" i="7"/>
  <c r="F154" i="7"/>
  <c r="F153" i="7"/>
  <c r="R150" i="7"/>
  <c r="P150" i="7"/>
  <c r="P161" i="7" s="1"/>
  <c r="N150" i="7"/>
  <c r="N161" i="7" s="1"/>
  <c r="L150" i="7"/>
  <c r="L161" i="7" s="1"/>
  <c r="J150" i="7"/>
  <c r="H150" i="7"/>
  <c r="H161" i="7" s="1"/>
  <c r="F148" i="7"/>
  <c r="F146" i="7"/>
  <c r="F145" i="7"/>
  <c r="F144" i="7"/>
  <c r="R138" i="7"/>
  <c r="J138" i="7"/>
  <c r="R136" i="7"/>
  <c r="P136" i="7"/>
  <c r="N136" i="7"/>
  <c r="L136" i="7"/>
  <c r="J136" i="7"/>
  <c r="H136" i="7"/>
  <c r="F136" i="7" s="1"/>
  <c r="F134" i="7"/>
  <c r="F133" i="7"/>
  <c r="F132" i="7"/>
  <c r="F131" i="7"/>
  <c r="F130" i="7"/>
  <c r="F128" i="7"/>
  <c r="F127" i="7"/>
  <c r="R124" i="7"/>
  <c r="P124" i="7"/>
  <c r="N124" i="7"/>
  <c r="L124" i="7"/>
  <c r="L138" i="7" s="1"/>
  <c r="J124" i="7"/>
  <c r="H124" i="7"/>
  <c r="F122" i="7"/>
  <c r="F121" i="7"/>
  <c r="R117" i="7"/>
  <c r="P117" i="7"/>
  <c r="N117" i="7"/>
  <c r="L117" i="7"/>
  <c r="J117" i="7"/>
  <c r="H117" i="7"/>
  <c r="F117" i="7"/>
  <c r="F115" i="7"/>
  <c r="F114" i="7"/>
  <c r="F113" i="7"/>
  <c r="F111" i="7"/>
  <c r="F110" i="7"/>
  <c r="F108" i="7"/>
  <c r="F107" i="7"/>
  <c r="F106" i="7"/>
  <c r="F105" i="7"/>
  <c r="R102" i="7"/>
  <c r="P102" i="7"/>
  <c r="P138" i="7" s="1"/>
  <c r="N102" i="7"/>
  <c r="N138" i="7" s="1"/>
  <c r="L102" i="7"/>
  <c r="J102" i="7"/>
  <c r="H102" i="7"/>
  <c r="H138" i="7" s="1"/>
  <c r="F138" i="7" s="1"/>
  <c r="F102" i="7"/>
  <c r="F100" i="7"/>
  <c r="F99" i="7"/>
  <c r="F98" i="7"/>
  <c r="F97" i="7"/>
  <c r="F95" i="7"/>
  <c r="F94" i="7"/>
  <c r="F92" i="7"/>
  <c r="F91" i="7"/>
  <c r="F90" i="7"/>
  <c r="R85" i="7"/>
  <c r="P85" i="7"/>
  <c r="N85" i="7"/>
  <c r="L85" i="7"/>
  <c r="J85" i="7"/>
  <c r="H85" i="7"/>
  <c r="F85" i="7"/>
  <c r="F83" i="7"/>
  <c r="F81" i="7"/>
  <c r="F79" i="7"/>
  <c r="F77" i="7"/>
  <c r="L73" i="7"/>
  <c r="F71" i="7"/>
  <c r="F69" i="7"/>
  <c r="R67" i="7"/>
  <c r="P67" i="7"/>
  <c r="P73" i="7" s="1"/>
  <c r="N67" i="7"/>
  <c r="N73" i="7" s="1"/>
  <c r="L67" i="7"/>
  <c r="J67" i="7"/>
  <c r="H67" i="7"/>
  <c r="H73" i="7" s="1"/>
  <c r="F67" i="7"/>
  <c r="F65" i="7"/>
  <c r="F64" i="7"/>
  <c r="F63" i="7"/>
  <c r="R60" i="7"/>
  <c r="R73" i="7" s="1"/>
  <c r="P60" i="7"/>
  <c r="N60" i="7"/>
  <c r="L60" i="7"/>
  <c r="J60" i="7"/>
  <c r="J73" i="7" s="1"/>
  <c r="H60" i="7"/>
  <c r="F58" i="7"/>
  <c r="F57" i="7"/>
  <c r="F56" i="7"/>
  <c r="R51" i="7"/>
  <c r="P51" i="7"/>
  <c r="N51" i="7"/>
  <c r="L51" i="7"/>
  <c r="J51" i="7"/>
  <c r="H51" i="7"/>
  <c r="F51" i="7"/>
  <c r="F48" i="7"/>
  <c r="F46" i="7"/>
  <c r="F44" i="7"/>
  <c r="F42" i="7"/>
  <c r="F34" i="7"/>
  <c r="R32" i="7"/>
  <c r="P32" i="7"/>
  <c r="N32" i="7"/>
  <c r="L32" i="7"/>
  <c r="J32" i="7"/>
  <c r="H32" i="7"/>
  <c r="F30" i="7"/>
  <c r="F28" i="7"/>
  <c r="F27" i="7"/>
  <c r="F26" i="7"/>
  <c r="F25" i="7"/>
  <c r="F24" i="7"/>
  <c r="F23" i="7"/>
  <c r="F22" i="7"/>
  <c r="F21" i="7"/>
  <c r="F32" i="7" s="1"/>
  <c r="R18" i="7"/>
  <c r="R37" i="7" s="1"/>
  <c r="P18" i="7"/>
  <c r="P37" i="7" s="1"/>
  <c r="N18" i="7"/>
  <c r="N37" i="7" s="1"/>
  <c r="N958" i="7" s="1"/>
  <c r="N964" i="7" s="1"/>
  <c r="L18" i="7"/>
  <c r="F18" i="7" s="1"/>
  <c r="F37" i="7" s="1"/>
  <c r="J18" i="7"/>
  <c r="J37" i="7" s="1"/>
  <c r="H18" i="7"/>
  <c r="H37" i="7" s="1"/>
  <c r="F16" i="7"/>
  <c r="F14" i="7"/>
  <c r="F13" i="7"/>
  <c r="F12" i="7"/>
  <c r="F11" i="7"/>
  <c r="F10" i="7"/>
  <c r="F9" i="7"/>
  <c r="F8" i="7"/>
  <c r="S31" i="9" l="1"/>
  <c r="F36" i="9"/>
  <c r="S36" i="9" s="1"/>
  <c r="H779" i="9"/>
  <c r="F779" i="9" s="1"/>
  <c r="S779" i="9" s="1"/>
  <c r="F733" i="9"/>
  <c r="S733" i="9" s="1"/>
  <c r="F692" i="9"/>
  <c r="S692" i="9" s="1"/>
  <c r="F70" i="9"/>
  <c r="S70" i="9" s="1"/>
  <c r="H959" i="9"/>
  <c r="H946" i="8"/>
  <c r="F726" i="8"/>
  <c r="H772" i="8"/>
  <c r="F772" i="8" s="1"/>
  <c r="P958" i="7"/>
  <c r="P964" i="7" s="1"/>
  <c r="F161" i="7"/>
  <c r="F694" i="7"/>
  <c r="R958" i="7"/>
  <c r="R964" i="7" s="1"/>
  <c r="L786" i="7"/>
  <c r="F739" i="7"/>
  <c r="H786" i="7"/>
  <c r="F786" i="7" s="1"/>
  <c r="F73" i="7"/>
  <c r="F912" i="7"/>
  <c r="J161" i="7"/>
  <c r="J958" i="7" s="1"/>
  <c r="J964" i="7" s="1"/>
  <c r="J396" i="7"/>
  <c r="F396" i="7" s="1"/>
  <c r="F124" i="7"/>
  <c r="F150" i="7"/>
  <c r="F60" i="7"/>
  <c r="F707" i="7"/>
  <c r="F835" i="7"/>
  <c r="L37" i="7"/>
  <c r="L958" i="7" s="1"/>
  <c r="L964" i="7" s="1"/>
  <c r="J483" i="7"/>
  <c r="F483" i="7" s="1"/>
  <c r="J694" i="7"/>
  <c r="F458" i="7"/>
  <c r="H965" i="9" l="1"/>
  <c r="F959" i="9"/>
  <c r="S959" i="9" s="1"/>
  <c r="F946" i="8"/>
  <c r="H952" i="8"/>
  <c r="F952" i="8" s="1"/>
  <c r="H958" i="7"/>
  <c r="F18" i="6"/>
  <c r="F965" i="9" l="1"/>
  <c r="S965" i="9" s="1"/>
  <c r="H964" i="7"/>
  <c r="F958" i="7"/>
  <c r="F1027" i="1"/>
  <c r="H966" i="7" l="1"/>
  <c r="F964" i="7"/>
  <c r="F966" i="7" s="1"/>
  <c r="F1025" i="1"/>
  <c r="G1020" i="1"/>
  <c r="H1020" i="1"/>
  <c r="I1020" i="1"/>
  <c r="J1020" i="1"/>
  <c r="K1020" i="1"/>
  <c r="L1020" i="1"/>
  <c r="M1020" i="1"/>
  <c r="N1020" i="1"/>
  <c r="O1020" i="1"/>
  <c r="P1020" i="1"/>
  <c r="Q1020" i="1"/>
  <c r="R1020" i="1"/>
  <c r="F1018" i="1"/>
  <c r="F1015" i="1"/>
  <c r="F1013" i="1"/>
  <c r="F1011" i="1"/>
  <c r="F1009" i="1"/>
  <c r="F1007" i="1"/>
  <c r="F1005" i="1"/>
  <c r="G1001" i="1"/>
  <c r="H1001" i="1"/>
  <c r="I1001" i="1"/>
  <c r="J1001" i="1"/>
  <c r="K1001" i="1"/>
  <c r="L1001" i="1"/>
  <c r="M1001" i="1"/>
  <c r="N1001" i="1"/>
  <c r="O1001" i="1"/>
  <c r="P1001" i="1"/>
  <c r="Q1001" i="1"/>
  <c r="R1001" i="1"/>
  <c r="F999" i="1"/>
  <c r="F997" i="1"/>
  <c r="G995" i="1"/>
  <c r="H995" i="1"/>
  <c r="I995" i="1"/>
  <c r="J995" i="1"/>
  <c r="K995" i="1"/>
  <c r="L995" i="1"/>
  <c r="M995" i="1"/>
  <c r="N995" i="1"/>
  <c r="O995" i="1"/>
  <c r="P995" i="1"/>
  <c r="Q995" i="1"/>
  <c r="R995" i="1"/>
  <c r="F992" i="1"/>
  <c r="F991" i="1"/>
  <c r="F990" i="1"/>
  <c r="F989" i="1"/>
  <c r="F988" i="1"/>
  <c r="F987" i="1"/>
  <c r="F986" i="1"/>
  <c r="F985" i="1"/>
  <c r="F984" i="1"/>
  <c r="F983" i="1"/>
  <c r="F982" i="1"/>
  <c r="F975" i="1"/>
  <c r="G972" i="1"/>
  <c r="H972" i="1"/>
  <c r="I972" i="1"/>
  <c r="J972" i="1"/>
  <c r="K972" i="1"/>
  <c r="L972" i="1"/>
  <c r="M972" i="1"/>
  <c r="N972" i="1"/>
  <c r="O972" i="1"/>
  <c r="P972" i="1"/>
  <c r="Q972" i="1"/>
  <c r="R972" i="1"/>
  <c r="F970" i="1"/>
  <c r="F969" i="1"/>
  <c r="F968" i="1"/>
  <c r="F967" i="1"/>
  <c r="F964" i="1"/>
  <c r="F962" i="1"/>
  <c r="F960" i="1"/>
  <c r="G958" i="1"/>
  <c r="H958" i="1"/>
  <c r="I958" i="1"/>
  <c r="J958" i="1"/>
  <c r="K958" i="1"/>
  <c r="L958" i="1"/>
  <c r="M958" i="1"/>
  <c r="N958" i="1"/>
  <c r="O958" i="1"/>
  <c r="P958" i="1"/>
  <c r="Q958" i="1"/>
  <c r="R958" i="1"/>
  <c r="F956" i="1"/>
  <c r="F955" i="1"/>
  <c r="F954" i="1"/>
  <c r="F953" i="1"/>
  <c r="F950" i="1"/>
  <c r="G948" i="1"/>
  <c r="H948" i="1"/>
  <c r="I948" i="1"/>
  <c r="J948" i="1"/>
  <c r="K948" i="1"/>
  <c r="L948" i="1"/>
  <c r="M948" i="1"/>
  <c r="N948" i="1"/>
  <c r="O948" i="1"/>
  <c r="P948" i="1"/>
  <c r="Q948" i="1"/>
  <c r="R948" i="1"/>
  <c r="F946" i="1"/>
  <c r="F945" i="1"/>
  <c r="F942" i="1"/>
  <c r="G940" i="1"/>
  <c r="H940" i="1"/>
  <c r="I940" i="1"/>
  <c r="J940" i="1"/>
  <c r="K940" i="1"/>
  <c r="L940" i="1"/>
  <c r="M940" i="1"/>
  <c r="N940" i="1"/>
  <c r="O940" i="1"/>
  <c r="P940" i="1"/>
  <c r="Q940" i="1"/>
  <c r="R940" i="1"/>
  <c r="F938" i="1"/>
  <c r="F937" i="1"/>
  <c r="F936" i="1"/>
  <c r="F935" i="1"/>
  <c r="F934" i="1"/>
  <c r="F933" i="1"/>
  <c r="F932" i="1"/>
  <c r="F931" i="1"/>
  <c r="G928" i="1"/>
  <c r="H928" i="1"/>
  <c r="I928" i="1"/>
  <c r="J928" i="1"/>
  <c r="K928" i="1"/>
  <c r="L928" i="1"/>
  <c r="M928" i="1"/>
  <c r="N928" i="1"/>
  <c r="O928" i="1"/>
  <c r="P928" i="1"/>
  <c r="Q928" i="1"/>
  <c r="R928" i="1"/>
  <c r="F926" i="1"/>
  <c r="F925" i="1"/>
  <c r="F922" i="1"/>
  <c r="G919" i="1"/>
  <c r="H919" i="1"/>
  <c r="I919" i="1"/>
  <c r="J919" i="1"/>
  <c r="K919" i="1"/>
  <c r="L919" i="1"/>
  <c r="M919" i="1"/>
  <c r="N919" i="1"/>
  <c r="O919" i="1"/>
  <c r="P919" i="1"/>
  <c r="Q919" i="1"/>
  <c r="R919" i="1"/>
  <c r="F917" i="1"/>
  <c r="F916" i="1"/>
  <c r="F915" i="1"/>
  <c r="F914" i="1"/>
  <c r="F912" i="1"/>
  <c r="F909" i="1"/>
  <c r="F907" i="1"/>
  <c r="F904" i="1"/>
  <c r="F902" i="1"/>
  <c r="G900" i="1"/>
  <c r="H900" i="1"/>
  <c r="I900" i="1"/>
  <c r="J900" i="1"/>
  <c r="K900" i="1"/>
  <c r="L900" i="1"/>
  <c r="M900" i="1"/>
  <c r="N900" i="1"/>
  <c r="O900" i="1"/>
  <c r="P900" i="1"/>
  <c r="Q900" i="1"/>
  <c r="R900" i="1"/>
  <c r="F898" i="1"/>
  <c r="F897" i="1"/>
  <c r="F896" i="1"/>
  <c r="F895" i="1"/>
  <c r="G892" i="1"/>
  <c r="H892" i="1"/>
  <c r="I892" i="1"/>
  <c r="J892" i="1"/>
  <c r="K892" i="1"/>
  <c r="L892" i="1"/>
  <c r="M892" i="1"/>
  <c r="N892" i="1"/>
  <c r="O892" i="1"/>
  <c r="P892" i="1"/>
  <c r="Q892" i="1"/>
  <c r="R892" i="1"/>
  <c r="F890" i="1"/>
  <c r="F889" i="1"/>
  <c r="F888" i="1"/>
  <c r="F885" i="1"/>
  <c r="G883" i="1"/>
  <c r="H883" i="1"/>
  <c r="I883" i="1"/>
  <c r="J883" i="1"/>
  <c r="K883" i="1"/>
  <c r="L883" i="1"/>
  <c r="M883" i="1"/>
  <c r="N883" i="1"/>
  <c r="O883" i="1"/>
  <c r="P883" i="1"/>
  <c r="Q883" i="1"/>
  <c r="R883" i="1"/>
  <c r="F881" i="1"/>
  <c r="F879" i="1"/>
  <c r="F878" i="1"/>
  <c r="F877" i="1"/>
  <c r="F875" i="1"/>
  <c r="F874" i="1"/>
  <c r="F872" i="1"/>
  <c r="F871" i="1"/>
  <c r="F870" i="1"/>
  <c r="F869" i="1"/>
  <c r="F867" i="1"/>
  <c r="F866" i="1"/>
  <c r="F865" i="1"/>
  <c r="F863" i="1"/>
  <c r="F861" i="1"/>
  <c r="F860" i="1"/>
  <c r="F859" i="1"/>
  <c r="F857" i="1"/>
  <c r="F855" i="1"/>
  <c r="F847" i="1"/>
  <c r="F844" i="1"/>
  <c r="F842" i="1"/>
  <c r="F840" i="1"/>
  <c r="G838" i="1"/>
  <c r="H838" i="1"/>
  <c r="I838" i="1"/>
  <c r="J838" i="1"/>
  <c r="K838" i="1"/>
  <c r="L838" i="1"/>
  <c r="M838" i="1"/>
  <c r="N838" i="1"/>
  <c r="O838" i="1"/>
  <c r="P838" i="1"/>
  <c r="Q838" i="1"/>
  <c r="R838" i="1"/>
  <c r="F836" i="1"/>
  <c r="F835" i="1"/>
  <c r="F833" i="1"/>
  <c r="G828" i="1"/>
  <c r="H828" i="1"/>
  <c r="I828" i="1"/>
  <c r="J828" i="1"/>
  <c r="K828" i="1"/>
  <c r="L828" i="1"/>
  <c r="M828" i="1"/>
  <c r="N828" i="1"/>
  <c r="O828" i="1"/>
  <c r="P828" i="1"/>
  <c r="Q828" i="1"/>
  <c r="R828" i="1"/>
  <c r="F826" i="1"/>
  <c r="F825" i="1"/>
  <c r="G822" i="1"/>
  <c r="H822" i="1"/>
  <c r="I822" i="1"/>
  <c r="J822" i="1"/>
  <c r="K822" i="1"/>
  <c r="L822" i="1"/>
  <c r="M822" i="1"/>
  <c r="N822" i="1"/>
  <c r="O822" i="1"/>
  <c r="P822" i="1"/>
  <c r="Q822" i="1"/>
  <c r="R822" i="1"/>
  <c r="F820" i="1"/>
  <c r="F818" i="1"/>
  <c r="F817" i="1"/>
  <c r="G813" i="1"/>
  <c r="H813" i="1"/>
  <c r="I813" i="1"/>
  <c r="J813" i="1"/>
  <c r="K813" i="1"/>
  <c r="L813" i="1"/>
  <c r="M813" i="1"/>
  <c r="N813" i="1"/>
  <c r="O813" i="1"/>
  <c r="P813" i="1"/>
  <c r="Q813" i="1"/>
  <c r="R813" i="1"/>
  <c r="F811" i="1"/>
  <c r="F810" i="1"/>
  <c r="F809" i="1"/>
  <c r="F808" i="1"/>
  <c r="F807" i="1"/>
  <c r="G801" i="1"/>
  <c r="H801" i="1"/>
  <c r="I801" i="1"/>
  <c r="J801" i="1"/>
  <c r="K801" i="1"/>
  <c r="L801" i="1"/>
  <c r="M801" i="1"/>
  <c r="N801" i="1"/>
  <c r="O801" i="1"/>
  <c r="P801" i="1"/>
  <c r="Q801" i="1"/>
  <c r="R801" i="1"/>
  <c r="F799" i="1"/>
  <c r="F798" i="1"/>
  <c r="F797" i="1"/>
  <c r="G794" i="1"/>
  <c r="H794" i="1"/>
  <c r="I794" i="1"/>
  <c r="J794" i="1"/>
  <c r="K794" i="1"/>
  <c r="L794" i="1"/>
  <c r="M794" i="1"/>
  <c r="N794" i="1"/>
  <c r="O794" i="1"/>
  <c r="P794" i="1"/>
  <c r="Q794" i="1"/>
  <c r="R794" i="1"/>
  <c r="F792" i="1"/>
  <c r="F791" i="1"/>
  <c r="F790" i="1"/>
  <c r="F789" i="1"/>
  <c r="F788" i="1"/>
  <c r="F787" i="1"/>
  <c r="F786" i="1"/>
  <c r="F785" i="1"/>
  <c r="F784" i="1"/>
  <c r="G781" i="1"/>
  <c r="H781" i="1"/>
  <c r="I781" i="1"/>
  <c r="J781" i="1"/>
  <c r="K781" i="1"/>
  <c r="L781" i="1"/>
  <c r="M781" i="1"/>
  <c r="N781" i="1"/>
  <c r="O781" i="1"/>
  <c r="P781" i="1"/>
  <c r="Q781" i="1"/>
  <c r="R781" i="1"/>
  <c r="F779" i="1"/>
  <c r="F778" i="1"/>
  <c r="F775" i="1"/>
  <c r="G771" i="1"/>
  <c r="H771" i="1"/>
  <c r="I771" i="1"/>
  <c r="J771" i="1"/>
  <c r="K771" i="1"/>
  <c r="L771" i="1"/>
  <c r="M771" i="1"/>
  <c r="N771" i="1"/>
  <c r="O771" i="1"/>
  <c r="P771" i="1"/>
  <c r="Q771" i="1"/>
  <c r="R771" i="1"/>
  <c r="F769" i="1"/>
  <c r="F768" i="1"/>
  <c r="F767" i="1"/>
  <c r="F766" i="1"/>
  <c r="F765" i="1"/>
  <c r="F764" i="1"/>
  <c r="G756" i="1"/>
  <c r="H756" i="1"/>
  <c r="I756" i="1"/>
  <c r="J756" i="1"/>
  <c r="K756" i="1"/>
  <c r="L756" i="1"/>
  <c r="M756" i="1"/>
  <c r="N756" i="1"/>
  <c r="O756" i="1"/>
  <c r="P756" i="1"/>
  <c r="Q756" i="1"/>
  <c r="R756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G713" i="1"/>
  <c r="H713" i="1"/>
  <c r="I713" i="1"/>
  <c r="J713" i="1"/>
  <c r="K713" i="1"/>
  <c r="L713" i="1"/>
  <c r="M713" i="1"/>
  <c r="N713" i="1"/>
  <c r="O713" i="1"/>
  <c r="P713" i="1"/>
  <c r="Q713" i="1"/>
  <c r="R713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0" i="1"/>
  <c r="F536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F530" i="1"/>
  <c r="F528" i="1"/>
  <c r="F526" i="1"/>
  <c r="F520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F516" i="1"/>
  <c r="F515" i="1"/>
  <c r="F514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F509" i="1"/>
  <c r="F508" i="1"/>
  <c r="F507" i="1"/>
  <c r="F506" i="1"/>
  <c r="F505" i="1"/>
  <c r="F504" i="1"/>
  <c r="F503" i="1"/>
  <c r="F502" i="1"/>
  <c r="F501" i="1"/>
  <c r="F500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F495" i="1"/>
  <c r="F494" i="1"/>
  <c r="F493" i="1"/>
  <c r="F492" i="1"/>
  <c r="F491" i="1"/>
  <c r="F490" i="1"/>
  <c r="F489" i="1"/>
  <c r="F488" i="1"/>
  <c r="F487" i="1"/>
  <c r="F486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F479" i="1"/>
  <c r="F477" i="1"/>
  <c r="F475" i="1"/>
  <c r="F473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F466" i="1"/>
  <c r="F464" i="1"/>
  <c r="F462" i="1"/>
  <c r="F460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F453" i="1"/>
  <c r="F451" i="1"/>
  <c r="F449" i="1"/>
  <c r="F447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F441" i="1"/>
  <c r="F439" i="1"/>
  <c r="F437" i="1"/>
  <c r="F435" i="1"/>
  <c r="F428" i="1"/>
  <c r="F426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F422" i="1"/>
  <c r="F421" i="1"/>
  <c r="F420" i="1"/>
  <c r="F419" i="1"/>
  <c r="F418" i="1"/>
  <c r="F417" i="1"/>
  <c r="F416" i="1"/>
  <c r="F414" i="1"/>
  <c r="F413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87" i="1"/>
  <c r="F385" i="1"/>
  <c r="F383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6" i="1"/>
  <c r="F355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F350" i="1"/>
  <c r="F349" i="1"/>
  <c r="F348" i="1"/>
  <c r="F347" i="1"/>
  <c r="F346" i="1"/>
  <c r="F345" i="1"/>
  <c r="F344" i="1"/>
  <c r="F343" i="1"/>
  <c r="F342" i="1"/>
  <c r="F341" i="1"/>
  <c r="F340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F278" i="1"/>
  <c r="F277" i="1"/>
  <c r="F276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3" i="1"/>
  <c r="F242" i="1"/>
  <c r="F240" i="1"/>
  <c r="F239" i="1"/>
  <c r="F238" i="1"/>
  <c r="F237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19" i="1"/>
  <c r="F218" i="1"/>
  <c r="F217" i="1"/>
  <c r="F216" i="1"/>
  <c r="F215" i="1"/>
  <c r="F213" i="1"/>
  <c r="F212" i="1"/>
  <c r="F211" i="1"/>
  <c r="F210" i="1"/>
  <c r="F209" i="1"/>
  <c r="F208" i="1"/>
  <c r="F207" i="1"/>
  <c r="F206" i="1"/>
  <c r="F205" i="1"/>
  <c r="F203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F196" i="1"/>
  <c r="F194" i="1"/>
  <c r="F192" i="1"/>
  <c r="F190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F183" i="1"/>
  <c r="F181" i="1"/>
  <c r="F179" i="1"/>
  <c r="F177" i="1"/>
  <c r="F169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F165" i="1"/>
  <c r="F164" i="1"/>
  <c r="F163" i="1"/>
  <c r="F162" i="1"/>
  <c r="F161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F156" i="1"/>
  <c r="F154" i="1"/>
  <c r="F153" i="1"/>
  <c r="F152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F142" i="1"/>
  <c r="F141" i="1"/>
  <c r="F140" i="1"/>
  <c r="F139" i="1"/>
  <c r="F138" i="1"/>
  <c r="F137" i="1"/>
  <c r="F136" i="1"/>
  <c r="F135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F130" i="1"/>
  <c r="F129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F95" i="1"/>
  <c r="F96" i="1"/>
  <c r="F97" i="1"/>
  <c r="F99" i="1"/>
  <c r="F100" i="1"/>
  <c r="F102" i="1"/>
  <c r="F103" i="1"/>
  <c r="F104" i="1"/>
  <c r="F105" i="1"/>
  <c r="F106" i="1"/>
  <c r="F94" i="1"/>
  <c r="G89" i="1"/>
  <c r="H89" i="1"/>
  <c r="I89" i="1"/>
  <c r="J89" i="1"/>
  <c r="K89" i="1"/>
  <c r="L89" i="1"/>
  <c r="M89" i="1"/>
  <c r="N89" i="1"/>
  <c r="O89" i="1"/>
  <c r="P89" i="1"/>
  <c r="Q89" i="1"/>
  <c r="R89" i="1"/>
  <c r="F87" i="1"/>
  <c r="F85" i="1"/>
  <c r="F83" i="1"/>
  <c r="F81" i="1"/>
  <c r="F75" i="1"/>
  <c r="F73" i="1"/>
  <c r="G71" i="1"/>
  <c r="H71" i="1"/>
  <c r="I71" i="1"/>
  <c r="J71" i="1"/>
  <c r="K71" i="1"/>
  <c r="L71" i="1"/>
  <c r="M71" i="1"/>
  <c r="N71" i="1"/>
  <c r="O71" i="1"/>
  <c r="P71" i="1"/>
  <c r="Q71" i="1"/>
  <c r="R71" i="1"/>
  <c r="F68" i="1"/>
  <c r="F69" i="1"/>
  <c r="F67" i="1"/>
  <c r="G64" i="1"/>
  <c r="H64" i="1"/>
  <c r="I64" i="1"/>
  <c r="J64" i="1"/>
  <c r="K64" i="1"/>
  <c r="L64" i="1"/>
  <c r="M64" i="1"/>
  <c r="N64" i="1"/>
  <c r="O64" i="1"/>
  <c r="P64" i="1"/>
  <c r="Q64" i="1"/>
  <c r="R64" i="1"/>
  <c r="F62" i="1"/>
  <c r="F61" i="1"/>
  <c r="F60" i="1"/>
  <c r="R55" i="1"/>
  <c r="Q55" i="1"/>
  <c r="P55" i="1"/>
  <c r="O55" i="1"/>
  <c r="N55" i="1"/>
  <c r="M55" i="1"/>
  <c r="L55" i="1"/>
  <c r="K55" i="1"/>
  <c r="J55" i="1"/>
  <c r="I55" i="1"/>
  <c r="H55" i="1"/>
  <c r="F52" i="1"/>
  <c r="F50" i="1"/>
  <c r="F48" i="1"/>
  <c r="F46" i="1"/>
  <c r="G41" i="1"/>
  <c r="G803" i="1" l="1"/>
  <c r="F948" i="1"/>
  <c r="Q146" i="1"/>
  <c r="M146" i="1"/>
  <c r="I146" i="1"/>
  <c r="O146" i="1"/>
  <c r="K146" i="1"/>
  <c r="N172" i="1"/>
  <c r="F186" i="1"/>
  <c r="F198" i="1"/>
  <c r="R378" i="1"/>
  <c r="N378" i="1"/>
  <c r="J378" i="1"/>
  <c r="F337" i="1"/>
  <c r="F375" i="1"/>
  <c r="P378" i="1"/>
  <c r="L378" i="1"/>
  <c r="H378" i="1"/>
  <c r="I378" i="1"/>
  <c r="P431" i="1"/>
  <c r="L431" i="1"/>
  <c r="H431" i="1"/>
  <c r="R522" i="1"/>
  <c r="N522" i="1"/>
  <c r="J522" i="1"/>
  <c r="L522" i="1"/>
  <c r="R758" i="1"/>
  <c r="N758" i="1"/>
  <c r="J758" i="1"/>
  <c r="P758" i="1"/>
  <c r="L758" i="1"/>
  <c r="H758" i="1"/>
  <c r="F781" i="1"/>
  <c r="P803" i="1"/>
  <c r="L803" i="1"/>
  <c r="H803" i="1"/>
  <c r="F822" i="1"/>
  <c r="O977" i="1"/>
  <c r="K977" i="1"/>
  <c r="G977" i="1"/>
  <c r="F1020" i="1"/>
  <c r="F390" i="1"/>
  <c r="O431" i="1"/>
  <c r="G431" i="1"/>
  <c r="K431" i="1"/>
  <c r="Q522" i="1"/>
  <c r="M522" i="1"/>
  <c r="I522" i="1"/>
  <c r="O522" i="1"/>
  <c r="K522" i="1"/>
  <c r="G522" i="1"/>
  <c r="F518" i="1"/>
  <c r="H522" i="1"/>
  <c r="Q758" i="1"/>
  <c r="M758" i="1"/>
  <c r="I758" i="1"/>
  <c r="F828" i="1"/>
  <c r="M77" i="1"/>
  <c r="M172" i="1"/>
  <c r="P77" i="1"/>
  <c r="L77" i="1"/>
  <c r="H77" i="1"/>
  <c r="O77" i="1"/>
  <c r="K77" i="1"/>
  <c r="G77" i="1"/>
  <c r="N77" i="1"/>
  <c r="F132" i="1"/>
  <c r="R172" i="1"/>
  <c r="J172" i="1"/>
  <c r="Q378" i="1"/>
  <c r="R431" i="1"/>
  <c r="N431" i="1"/>
  <c r="J431" i="1"/>
  <c r="O803" i="1"/>
  <c r="O849" i="1" s="1"/>
  <c r="M977" i="1"/>
  <c r="I977" i="1"/>
  <c r="Q977" i="1"/>
  <c r="F1001" i="1"/>
  <c r="Q77" i="1"/>
  <c r="I77" i="1"/>
  <c r="R77" i="1"/>
  <c r="J77" i="1"/>
  <c r="R146" i="1"/>
  <c r="N146" i="1"/>
  <c r="J146" i="1"/>
  <c r="F126" i="1"/>
  <c r="P146" i="1"/>
  <c r="L146" i="1"/>
  <c r="H146" i="1"/>
  <c r="F144" i="1"/>
  <c r="G146" i="1"/>
  <c r="O172" i="1"/>
  <c r="K172" i="1"/>
  <c r="G172" i="1"/>
  <c r="Q172" i="1"/>
  <c r="I172" i="1"/>
  <c r="O378" i="1"/>
  <c r="K378" i="1"/>
  <c r="G378" i="1"/>
  <c r="M378" i="1"/>
  <c r="Q431" i="1"/>
  <c r="M431" i="1"/>
  <c r="I431" i="1"/>
  <c r="P522" i="1"/>
  <c r="Q803" i="1"/>
  <c r="M803" i="1"/>
  <c r="I803" i="1"/>
  <c r="R803" i="1"/>
  <c r="N803" i="1"/>
  <c r="J803" i="1"/>
  <c r="F801" i="1"/>
  <c r="K803" i="1"/>
  <c r="P977" i="1"/>
  <c r="L977" i="1"/>
  <c r="H977" i="1"/>
  <c r="F892" i="1"/>
  <c r="F928" i="1"/>
  <c r="O758" i="1"/>
  <c r="K758" i="1"/>
  <c r="G758" i="1"/>
  <c r="R977" i="1"/>
  <c r="N977" i="1"/>
  <c r="J977" i="1"/>
  <c r="F677" i="1"/>
  <c r="F280" i="1"/>
  <c r="F89" i="1"/>
  <c r="F108" i="1"/>
  <c r="P172" i="1"/>
  <c r="L172" i="1"/>
  <c r="H172" i="1"/>
  <c r="F167" i="1"/>
  <c r="F424" i="1"/>
  <c r="F443" i="1"/>
  <c r="F455" i="1"/>
  <c r="F469" i="1"/>
  <c r="F481" i="1"/>
  <c r="F497" i="1"/>
  <c r="F813" i="1"/>
  <c r="F940" i="1"/>
  <c r="F972" i="1"/>
  <c r="F64" i="1"/>
  <c r="F532" i="1"/>
  <c r="F713" i="1"/>
  <c r="F756" i="1"/>
  <c r="F958" i="1"/>
  <c r="F158" i="1"/>
  <c r="F71" i="1"/>
  <c r="F352" i="1"/>
  <c r="F410" i="1"/>
  <c r="F511" i="1"/>
  <c r="F583" i="1"/>
  <c r="F771" i="1"/>
  <c r="F794" i="1"/>
  <c r="F838" i="1"/>
  <c r="F883" i="1"/>
  <c r="F900" i="1"/>
  <c r="F919" i="1"/>
  <c r="F995" i="1"/>
  <c r="F55" i="1"/>
  <c r="G849" i="1" l="1"/>
  <c r="L849" i="1"/>
  <c r="H849" i="1"/>
  <c r="P849" i="1"/>
  <c r="M849" i="1"/>
  <c r="F803" i="1"/>
  <c r="J849" i="1"/>
  <c r="R849" i="1"/>
  <c r="F522" i="1"/>
  <c r="F146" i="1"/>
  <c r="K849" i="1"/>
  <c r="F172" i="1"/>
  <c r="I849" i="1"/>
  <c r="Q849" i="1"/>
  <c r="N849" i="1"/>
  <c r="F977" i="1"/>
  <c r="F378" i="1"/>
  <c r="F758" i="1"/>
  <c r="F431" i="1"/>
  <c r="F77" i="1"/>
  <c r="G1023" i="1" l="1"/>
  <c r="G1029" i="1" s="1"/>
  <c r="F849" i="1"/>
  <c r="F38" i="1"/>
  <c r="F36" i="1" l="1"/>
  <c r="R34" i="1"/>
  <c r="P34" i="1"/>
  <c r="N34" i="1"/>
  <c r="L34" i="1"/>
  <c r="J34" i="1"/>
  <c r="H34" i="1"/>
  <c r="F32" i="1" l="1"/>
  <c r="F31" i="1"/>
  <c r="F29" i="1"/>
  <c r="F28" i="1"/>
  <c r="F27" i="1"/>
  <c r="F26" i="1"/>
  <c r="F25" i="1"/>
  <c r="F24" i="1"/>
  <c r="F23" i="1"/>
  <c r="F22" i="1"/>
  <c r="F21" i="1"/>
  <c r="I18" i="1"/>
  <c r="J18" i="1"/>
  <c r="K18" i="1"/>
  <c r="L18" i="1"/>
  <c r="M18" i="1"/>
  <c r="N18" i="1"/>
  <c r="O18" i="1"/>
  <c r="P18" i="1"/>
  <c r="Q18" i="1"/>
  <c r="R18" i="1"/>
  <c r="H18" i="1"/>
  <c r="F9" i="1"/>
  <c r="F10" i="1"/>
  <c r="F11" i="1"/>
  <c r="F12" i="1"/>
  <c r="F13" i="1"/>
  <c r="F14" i="1"/>
  <c r="F16" i="1"/>
  <c r="F8" i="1"/>
  <c r="N41" i="1" l="1"/>
  <c r="J41" i="1"/>
  <c r="Q41" i="1"/>
  <c r="M41" i="1"/>
  <c r="I41" i="1"/>
  <c r="L41" i="1"/>
  <c r="R41" i="1"/>
  <c r="P41" i="1"/>
  <c r="H41" i="1"/>
  <c r="O41" i="1"/>
  <c r="K41" i="1"/>
  <c r="F34" i="1"/>
  <c r="F18" i="1"/>
  <c r="K1023" i="1" l="1"/>
  <c r="K1029" i="1" s="1"/>
  <c r="R1023" i="1"/>
  <c r="R1029" i="1" s="1"/>
  <c r="I1023" i="1"/>
  <c r="I1029" i="1" s="1"/>
  <c r="Q1023" i="1"/>
  <c r="Q1029" i="1" s="1"/>
  <c r="N1023" i="1"/>
  <c r="N1029" i="1" s="1"/>
  <c r="H1023" i="1"/>
  <c r="H1029" i="1" s="1"/>
  <c r="O1023" i="1"/>
  <c r="O1029" i="1" s="1"/>
  <c r="L1023" i="1"/>
  <c r="L1029" i="1" s="1"/>
  <c r="J1023" i="1"/>
  <c r="J1029" i="1" s="1"/>
  <c r="P1023" i="1"/>
  <c r="P1029" i="1" s="1"/>
  <c r="M1023" i="1"/>
  <c r="M1029" i="1" s="1"/>
  <c r="F41" i="1"/>
  <c r="F1023" i="1" l="1"/>
  <c r="F1029" i="1" s="1"/>
</calcChain>
</file>

<file path=xl/sharedStrings.xml><?xml version="1.0" encoding="utf-8"?>
<sst xmlns="http://schemas.openxmlformats.org/spreadsheetml/2006/main" count="4026" uniqueCount="537">
  <si>
    <t>Current Funds</t>
  </si>
  <si>
    <t>Distribution</t>
  </si>
  <si>
    <t>(Dollars in Thousands)</t>
  </si>
  <si>
    <t>Total</t>
  </si>
  <si>
    <t>Unrestricted</t>
  </si>
  <si>
    <t>Restricted</t>
  </si>
  <si>
    <t>Salaries and Wages</t>
  </si>
  <si>
    <t>Other Expenditures</t>
  </si>
  <si>
    <t>Less: Transfers</t>
  </si>
  <si>
    <t>General</t>
  </si>
  <si>
    <t>Designated</t>
  </si>
  <si>
    <t xml:space="preserve">AGRICULTURAL EXPERIMENT </t>
  </si>
  <si>
    <t>STATION</t>
  </si>
  <si>
    <t>INSTRUCTION</t>
  </si>
  <si>
    <t>Agricultural resource economics</t>
  </si>
  <si>
    <t>CNR dean research and extension</t>
  </si>
  <si>
    <t>Ecosystem sciences</t>
  </si>
  <si>
    <t>Insect biology</t>
  </si>
  <si>
    <t>Microbial biology</t>
  </si>
  <si>
    <t xml:space="preserve">Nutritional sciences </t>
  </si>
  <si>
    <t>Plant biology</t>
  </si>
  <si>
    <t>Resource institutions, policy and</t>
  </si>
  <si>
    <t xml:space="preserve"> </t>
  </si>
  <si>
    <t xml:space="preserve"> management</t>
  </si>
  <si>
    <t>RESEARCH</t>
  </si>
  <si>
    <t>Forestry center</t>
  </si>
  <si>
    <t>Forest science</t>
  </si>
  <si>
    <t>VP Agriculture &amp; Natural Resources</t>
  </si>
  <si>
    <t>PUBLIC SERVICE</t>
  </si>
  <si>
    <t>ACADEMIC SUPPORT</t>
  </si>
  <si>
    <t>Total Agricultural Experiment</t>
  </si>
  <si>
    <t xml:space="preserve"> Station</t>
  </si>
  <si>
    <t xml:space="preserve">SCHOOL OF BUSINESS </t>
  </si>
  <si>
    <t>ADMINISTRATION</t>
  </si>
  <si>
    <t>Total School of Business</t>
  </si>
  <si>
    <t xml:space="preserve"> Administration</t>
  </si>
  <si>
    <t>COLLEGE OF CHEMISTRY</t>
  </si>
  <si>
    <t>Chemical engineering</t>
  </si>
  <si>
    <t>Chemistry</t>
  </si>
  <si>
    <t>Dean's office</t>
  </si>
  <si>
    <t>Total College of Chemistry</t>
  </si>
  <si>
    <t>SCHOOL OF EDUCATION</t>
  </si>
  <si>
    <t>Total School of Education</t>
  </si>
  <si>
    <t>COLLEGE OF ENGINEERING</t>
  </si>
  <si>
    <t>Bioengineering</t>
  </si>
  <si>
    <t>Civil and environmental engineering</t>
  </si>
  <si>
    <t>Earthquake engineering research ctr</t>
  </si>
  <si>
    <t>Electrical engineering and computer</t>
  </si>
  <si>
    <t>science</t>
  </si>
  <si>
    <t>Engineering research</t>
  </si>
  <si>
    <t>Industrial engineering and operations</t>
  </si>
  <si>
    <t>research</t>
  </si>
  <si>
    <t>Inst for Environ Sci &amp; Engineering</t>
  </si>
  <si>
    <t>Materials science and engineering</t>
  </si>
  <si>
    <t xml:space="preserve">Mechanical engineering </t>
  </si>
  <si>
    <t>Nuclear engineering</t>
  </si>
  <si>
    <t>Earthquake engineering research center</t>
  </si>
  <si>
    <t>Institute for environment science</t>
  </si>
  <si>
    <t>and engineering</t>
  </si>
  <si>
    <t>Mechanical engineering</t>
  </si>
  <si>
    <t xml:space="preserve">Total </t>
  </si>
  <si>
    <t>Civil &amp; environmental engineering</t>
  </si>
  <si>
    <t>Materials science and engineering shop</t>
  </si>
  <si>
    <t>Total College of Engineering</t>
  </si>
  <si>
    <t xml:space="preserve">COLLEGE OF ENVIRONMENTAL </t>
  </si>
  <si>
    <t>DESIGN</t>
  </si>
  <si>
    <t>Architecture</t>
  </si>
  <si>
    <t>City and regional planning</t>
  </si>
  <si>
    <t xml:space="preserve">Landscape architecture and </t>
  </si>
  <si>
    <t>environmental planning</t>
  </si>
  <si>
    <t>Total College of Environmental</t>
  </si>
  <si>
    <t xml:space="preserve"> Design</t>
  </si>
  <si>
    <t xml:space="preserve">GRADUATE SCHOOL OF </t>
  </si>
  <si>
    <t>JOURNALISM</t>
  </si>
  <si>
    <t>Total Graduate School of</t>
  </si>
  <si>
    <t xml:space="preserve"> Journalism</t>
  </si>
  <si>
    <t>SCHOOL OF LAW</t>
  </si>
  <si>
    <t>Total School of Law</t>
  </si>
  <si>
    <t>COLLEGE OF LETTERS AND SCIENCE</t>
  </si>
  <si>
    <t>African American studies</t>
  </si>
  <si>
    <t>Ancient history and mediterranean</t>
  </si>
  <si>
    <t>archaeology</t>
  </si>
  <si>
    <t>Anthropology</t>
  </si>
  <si>
    <t>Arts and humanities dean's office</t>
  </si>
  <si>
    <t>Art history</t>
  </si>
  <si>
    <t>Art practice</t>
  </si>
  <si>
    <t>Astronomy</t>
  </si>
  <si>
    <t>Biological sciences dean's office</t>
  </si>
  <si>
    <t>Bioscience divisional services</t>
  </si>
  <si>
    <t>CASMA</t>
  </si>
  <si>
    <t>Center for new music and audio</t>
  </si>
  <si>
    <t>technologies</t>
  </si>
  <si>
    <t>Center for particle astrophysics</t>
  </si>
  <si>
    <t>Classics</t>
  </si>
  <si>
    <t>College writing programs</t>
  </si>
  <si>
    <t>Comparative literature</t>
  </si>
  <si>
    <t>Comparative literature and French</t>
  </si>
  <si>
    <t>administration</t>
  </si>
  <si>
    <t>Demography</t>
  </si>
  <si>
    <t>Diving control</t>
  </si>
  <si>
    <t>Dramatic art</t>
  </si>
  <si>
    <t>Earth and planetary science</t>
  </si>
  <si>
    <t>East Asian languages</t>
  </si>
  <si>
    <t xml:space="preserve">Economics </t>
  </si>
  <si>
    <t>Electron microscope laboratory</t>
  </si>
  <si>
    <t>English</t>
  </si>
  <si>
    <t>Ethnic studies</t>
  </si>
  <si>
    <t>Film studies</t>
  </si>
  <si>
    <t>French</t>
  </si>
  <si>
    <t>Geography</t>
  </si>
  <si>
    <t>German</t>
  </si>
  <si>
    <t>German, Spanish and Portuguese</t>
  </si>
  <si>
    <t>History</t>
  </si>
  <si>
    <t>Humanities Research &amp; Teaching Support</t>
  </si>
  <si>
    <t xml:space="preserve">Integrative biology </t>
  </si>
  <si>
    <t>International and area studies</t>
  </si>
  <si>
    <t>teaching program</t>
  </si>
  <si>
    <t>Italian studies</t>
  </si>
  <si>
    <t>Italian/Scandinavian/Slavic</t>
  </si>
  <si>
    <t>Jewish studies</t>
  </si>
  <si>
    <t>Language center</t>
  </si>
  <si>
    <t xml:space="preserve">Linguistics </t>
  </si>
  <si>
    <t>Mathematics</t>
  </si>
  <si>
    <t>Medieval studies</t>
  </si>
  <si>
    <t>Miller Institute for Basic Research in Science</t>
  </si>
  <si>
    <t>Molecular and cell biology</t>
  </si>
  <si>
    <t>Music</t>
  </si>
  <si>
    <t>Near Eastern studies</t>
  </si>
  <si>
    <t>Philosophy</t>
  </si>
  <si>
    <t>Physical education program</t>
  </si>
  <si>
    <t>Physical sciences dean's office</t>
  </si>
  <si>
    <t>Physics</t>
  </si>
  <si>
    <t>Political science</t>
  </si>
  <si>
    <t>Psychology</t>
  </si>
  <si>
    <t>Rhetoric</t>
  </si>
  <si>
    <t>Rhetoric and film studies</t>
  </si>
  <si>
    <t>ROTC military affairs</t>
  </si>
  <si>
    <t>Scandinavian languages</t>
  </si>
  <si>
    <t>Slavic languages and literature</t>
  </si>
  <si>
    <t>Social sciences dean's office</t>
  </si>
  <si>
    <t>Social science matrix</t>
  </si>
  <si>
    <t>Sociology</t>
  </si>
  <si>
    <t>South and Southeast Asian studies</t>
  </si>
  <si>
    <t>Spanish and Portuguese</t>
  </si>
  <si>
    <t>Statistics</t>
  </si>
  <si>
    <t>Townsend center for humanities</t>
  </si>
  <si>
    <t>Undergraduate advising</t>
  </si>
  <si>
    <t>Undergraduate and interdisciplinary</t>
  </si>
  <si>
    <t>studies dean's office</t>
  </si>
  <si>
    <t>Valley life sciences building</t>
  </si>
  <si>
    <t>Women's studies</t>
  </si>
  <si>
    <t>East Asian languages and culture</t>
  </si>
  <si>
    <t>Economics</t>
  </si>
  <si>
    <t>Electron Microscope Lab</t>
  </si>
  <si>
    <t>Innovative genomics initiative</t>
  </si>
  <si>
    <t>Integrative biology</t>
  </si>
  <si>
    <t>International &amp; area studies teaching</t>
  </si>
  <si>
    <t>Jewish Studies</t>
  </si>
  <si>
    <t>Li Ka Shing building</t>
  </si>
  <si>
    <t>Linguistics</t>
  </si>
  <si>
    <t xml:space="preserve">Music </t>
  </si>
  <si>
    <t xml:space="preserve">Philosophy </t>
  </si>
  <si>
    <t>Townsend center for the humanities</t>
  </si>
  <si>
    <t>Undergrad and Interdisc Studies</t>
  </si>
  <si>
    <t>Valley Life Sciences Building</t>
  </si>
  <si>
    <t xml:space="preserve">Electron microscope laboratory </t>
  </si>
  <si>
    <t>Molecular and cell biology-services</t>
  </si>
  <si>
    <t xml:space="preserve">Total College of Letters and </t>
  </si>
  <si>
    <t xml:space="preserve"> Science</t>
  </si>
  <si>
    <t>SCHOOL OF INFORMATION</t>
  </si>
  <si>
    <t>MANAGEMENT AND SYSTEMS</t>
  </si>
  <si>
    <t xml:space="preserve">Total School of Information </t>
  </si>
  <si>
    <t xml:space="preserve"> Management and systems</t>
  </si>
  <si>
    <t>COLLEGE OF NATURAL RESOURCES</t>
  </si>
  <si>
    <t>Ecosystem science</t>
  </si>
  <si>
    <t>Environmental science, policy, and</t>
  </si>
  <si>
    <t>management</t>
  </si>
  <si>
    <t>Nutritional science and toxicology</t>
  </si>
  <si>
    <t>Plant Biology</t>
  </si>
  <si>
    <t>Plant and microbial biology</t>
  </si>
  <si>
    <t>Plant gene experiment center</t>
  </si>
  <si>
    <t>Ecosystem Science</t>
  </si>
  <si>
    <t>Total College of Natural</t>
  </si>
  <si>
    <t xml:space="preserve"> Resources</t>
  </si>
  <si>
    <t>SCHOOL OF OPTOMETRY</t>
  </si>
  <si>
    <t>Total School of Optometry</t>
  </si>
  <si>
    <t>SCHOOL OF PUBLIC HEALTH</t>
  </si>
  <si>
    <t>Total School of Public Health</t>
  </si>
  <si>
    <t xml:space="preserve">GRADUATE SCHOOL OF PUBLIC </t>
  </si>
  <si>
    <t>POLICY</t>
  </si>
  <si>
    <t>Total Graduate School of Public</t>
  </si>
  <si>
    <t xml:space="preserve"> Policy</t>
  </si>
  <si>
    <t>SCHOOL OF SOCIAL WELFARE</t>
  </si>
  <si>
    <t>Total School of Social Welfare</t>
  </si>
  <si>
    <t>INTERNATIONAL AREA STUDIES</t>
  </si>
  <si>
    <t>Center for African studies</t>
  </si>
  <si>
    <t>Center for Latin American studies</t>
  </si>
  <si>
    <t>Center for Southeast Asian studies</t>
  </si>
  <si>
    <t>Institute of East Asian studies</t>
  </si>
  <si>
    <t>Institute of European studies</t>
  </si>
  <si>
    <t>Institute of international studies</t>
  </si>
  <si>
    <t>Middle Eastern studies</t>
  </si>
  <si>
    <t>Slavic and Eastern European studies</t>
  </si>
  <si>
    <t>South Asian studies</t>
  </si>
  <si>
    <t>Total International Area Studies</t>
  </si>
  <si>
    <t>GRADUATE DIVISION</t>
  </si>
  <si>
    <t>Total Graduate Division</t>
  </si>
  <si>
    <t>SUMMER SESSIONS</t>
  </si>
  <si>
    <t>UNIVERSITY EXTENSION</t>
  </si>
  <si>
    <t>CAMPUS-WIDE PROGRAMS</t>
  </si>
  <si>
    <t>Archeological research facility</t>
  </si>
  <si>
    <t>Berkeley seismological laboratory</t>
  </si>
  <si>
    <t xml:space="preserve">Buddhist studies  </t>
  </si>
  <si>
    <t xml:space="preserve">California institute for quantitative </t>
  </si>
  <si>
    <t>biomedical research</t>
  </si>
  <si>
    <t>Cancer research laboratory</t>
  </si>
  <si>
    <t>Center for teaching excellence</t>
  </si>
  <si>
    <t>Center for the tebtunis papyri</t>
  </si>
  <si>
    <t>Energy and resources group</t>
  </si>
  <si>
    <t>Essig museum of entomology</t>
  </si>
  <si>
    <t>Helen Wills neuroscience institute</t>
  </si>
  <si>
    <t>History of science and technology</t>
  </si>
  <si>
    <t>Institute of business and economic</t>
  </si>
  <si>
    <t xml:space="preserve"> research</t>
  </si>
  <si>
    <t>Institute of cognitive studies</t>
  </si>
  <si>
    <t>Institute of governmental studies</t>
  </si>
  <si>
    <t>Institute of human development</t>
  </si>
  <si>
    <t>Institute of personality and social</t>
  </si>
  <si>
    <t>Institute of transportation studies</t>
  </si>
  <si>
    <t xml:space="preserve">Institute of urban and regional </t>
  </si>
  <si>
    <t>development</t>
  </si>
  <si>
    <t>Lawrence hall of science</t>
  </si>
  <si>
    <t>Museum of paleontology</t>
  </si>
  <si>
    <t>Museum of vertebrate zoology</t>
  </si>
  <si>
    <t>Other</t>
  </si>
  <si>
    <t>Phoebe Hearst museum of anthropology</t>
  </si>
  <si>
    <t>Space sciences laboratory</t>
  </si>
  <si>
    <t>Stem cell center</t>
  </si>
  <si>
    <t>Survey research center</t>
  </si>
  <si>
    <t>Theoretical astrophysics center</t>
  </si>
  <si>
    <t>University/Jepson Herbaria</t>
  </si>
  <si>
    <t>VC research immediate office</t>
  </si>
  <si>
    <t>Vice provost for academic planning and</t>
  </si>
  <si>
    <t xml:space="preserve"> facilities</t>
  </si>
  <si>
    <t>Compensated absences accrual</t>
  </si>
  <si>
    <t>Educational fee expense proration</t>
  </si>
  <si>
    <t>Academic senate</t>
  </si>
  <si>
    <t xml:space="preserve">Arts research center  </t>
  </si>
  <si>
    <t>Beatrice M. Bain research group on</t>
  </si>
  <si>
    <t>women and gender</t>
  </si>
  <si>
    <t>Berkeley skydeck</t>
  </si>
  <si>
    <t>Blue oak ranch reserve</t>
  </si>
  <si>
    <t>Blum center for developing economies</t>
  </si>
  <si>
    <t>California institute for energy and</t>
  </si>
  <si>
    <t>environment</t>
  </si>
  <si>
    <t xml:space="preserve">Center for child and youth policy </t>
  </si>
  <si>
    <t>Center for environmental design</t>
  </si>
  <si>
    <t xml:space="preserve">Center for information technology </t>
  </si>
  <si>
    <t xml:space="preserve">research in interest of society </t>
  </si>
  <si>
    <t>Center for integrative planetary</t>
  </si>
  <si>
    <t xml:space="preserve">science  </t>
  </si>
  <si>
    <t xml:space="preserve">Center for pure and applied </t>
  </si>
  <si>
    <t>mathematics</t>
  </si>
  <si>
    <t>Center for studies in higher</t>
  </si>
  <si>
    <t>education</t>
  </si>
  <si>
    <t>Center for the study of law</t>
  </si>
  <si>
    <t>and society</t>
  </si>
  <si>
    <t xml:space="preserve">Center for the study of sexual culture </t>
  </si>
  <si>
    <t xml:space="preserve">Center for the tebtunis papyri </t>
  </si>
  <si>
    <t>Center of evaluation for global action</t>
  </si>
  <si>
    <t>Data science institute</t>
  </si>
  <si>
    <t>Deep underground science and</t>
  </si>
  <si>
    <t xml:space="preserve">   </t>
  </si>
  <si>
    <t>engineering laboratory</t>
  </si>
  <si>
    <t>Donner laboratory</t>
  </si>
  <si>
    <t>Donner region research fields stations</t>
  </si>
  <si>
    <t>Earl Warren legal institute</t>
  </si>
  <si>
    <t>Emma Goldman papers project</t>
  </si>
  <si>
    <t>Energy and climate institute</t>
  </si>
  <si>
    <t>Energy biosciences institute</t>
  </si>
  <si>
    <t>Field station behavioral research</t>
  </si>
  <si>
    <t xml:space="preserve">Functional genomics laboratory  </t>
  </si>
  <si>
    <t>Haas diversity research center</t>
  </si>
  <si>
    <t>Independent research programs</t>
  </si>
  <si>
    <t xml:space="preserve">Institute of the study of social </t>
  </si>
  <si>
    <t>change</t>
  </si>
  <si>
    <t>Institute of industrial relations</t>
  </si>
  <si>
    <t>Institute of management, innovation</t>
  </si>
  <si>
    <t>and organization</t>
  </si>
  <si>
    <t>Miller institute for basic research</t>
  </si>
  <si>
    <t>in science</t>
  </si>
  <si>
    <t>Nanosciences and nanoengineering</t>
  </si>
  <si>
    <t xml:space="preserve">institute </t>
  </si>
  <si>
    <t>Natural history museum admin services</t>
  </si>
  <si>
    <t>Other Research Activities</t>
  </si>
  <si>
    <t>Radio astronomy laboratory</t>
  </si>
  <si>
    <t>Research enterprise support services</t>
  </si>
  <si>
    <t>Shared services</t>
  </si>
  <si>
    <t>Simons institute theory of computing</t>
  </si>
  <si>
    <t>Tsinghua Shenzen Institute</t>
  </si>
  <si>
    <t>UC Botanical Garden</t>
  </si>
  <si>
    <t>UC Energy Institute</t>
  </si>
  <si>
    <t>UC Transportation Center</t>
  </si>
  <si>
    <t>University/Jepson herbaria</t>
  </si>
  <si>
    <t>Academic preparation and articulation</t>
  </si>
  <si>
    <t>Admissions and relationships</t>
  </si>
  <si>
    <t>with schools</t>
  </si>
  <si>
    <t>Art museum and Pacific film archive</t>
  </si>
  <si>
    <t>Break the cycle</t>
  </si>
  <si>
    <t>Cal performances</t>
  </si>
  <si>
    <t>Campus life and leadership</t>
  </si>
  <si>
    <t xml:space="preserve">Center for transfer re-entry and </t>
  </si>
  <si>
    <t xml:space="preserve">student parent  </t>
  </si>
  <si>
    <t>Institute of the study of social change</t>
  </si>
  <si>
    <t>Library</t>
  </si>
  <si>
    <t>Museum of palentology</t>
  </si>
  <si>
    <t>Osher lifelong learning institute</t>
  </si>
  <si>
    <t>Strategic Technology Planning</t>
  </si>
  <si>
    <t>UC botanical garden</t>
  </si>
  <si>
    <t>Work study program</t>
  </si>
  <si>
    <t xml:space="preserve">Academic senate administration </t>
  </si>
  <si>
    <t>Administrative Systems</t>
  </si>
  <si>
    <t>Assistant vice provost office</t>
  </si>
  <si>
    <t>Associate vice chancellor IST</t>
  </si>
  <si>
    <t>Cal institute for quantitative biomedical</t>
  </si>
  <si>
    <t xml:space="preserve">Center for race and gender  </t>
  </si>
  <si>
    <t>Central computing services</t>
  </si>
  <si>
    <t>Communication and network services</t>
  </si>
  <si>
    <t>Educational development and</t>
  </si>
  <si>
    <t>technology</t>
  </si>
  <si>
    <t>Educational technology</t>
  </si>
  <si>
    <t>IST Associate Vice Chancellor office</t>
  </si>
  <si>
    <t>Libraries</t>
  </si>
  <si>
    <t>Natural history museum</t>
  </si>
  <si>
    <t>administrative services</t>
  </si>
  <si>
    <t>Office of laboratory animal care</t>
  </si>
  <si>
    <t>Office of technology licensing</t>
  </si>
  <si>
    <t>Phoebe Hearst museum of</t>
  </si>
  <si>
    <t>anthropology</t>
  </si>
  <si>
    <t>Resource center for online education</t>
  </si>
  <si>
    <t>Social science computing laboratory</t>
  </si>
  <si>
    <t>Social science data lab</t>
  </si>
  <si>
    <t>Workstation support services</t>
  </si>
  <si>
    <t>Total Campus-Wide Programs</t>
  </si>
  <si>
    <t>STUDENT SERVICES</t>
  </si>
  <si>
    <t xml:space="preserve">STUDENT SERVICES </t>
  </si>
  <si>
    <t>Academic preparation &amp; articulation</t>
  </si>
  <si>
    <t>Office of Student Research</t>
  </si>
  <si>
    <t>Student Information Systems</t>
  </si>
  <si>
    <t>Undergraduate affairs computing</t>
  </si>
  <si>
    <t>Undergraduate affairs development</t>
  </si>
  <si>
    <t xml:space="preserve">  </t>
  </si>
  <si>
    <t>office</t>
  </si>
  <si>
    <t xml:space="preserve">SOCIAL AND CULTURAL </t>
  </si>
  <si>
    <t>PROGRAMS</t>
  </si>
  <si>
    <t>Associated students</t>
  </si>
  <si>
    <t>Cultural programs</t>
  </si>
  <si>
    <t>Media services</t>
  </si>
  <si>
    <t>Student musical activities</t>
  </si>
  <si>
    <t>Other social services</t>
  </si>
  <si>
    <t>Academic achievement programs</t>
  </si>
  <si>
    <t>Academic development student</t>
  </si>
  <si>
    <t xml:space="preserve">   groups</t>
  </si>
  <si>
    <t>Academic student development</t>
  </si>
  <si>
    <t>Child care services</t>
  </si>
  <si>
    <t>Multicultural center</t>
  </si>
  <si>
    <t>New student services</t>
  </si>
  <si>
    <t>Student activities and services</t>
  </si>
  <si>
    <t>Student life advising services</t>
  </si>
  <si>
    <t>Recreational programs</t>
  </si>
  <si>
    <t>Faculty athletic representative</t>
  </si>
  <si>
    <t>Intercollegiate athletics</t>
  </si>
  <si>
    <t>Recreational sports</t>
  </si>
  <si>
    <t>Total Social and Cultural Activities</t>
  </si>
  <si>
    <t xml:space="preserve">SUPPLEMENTARY EDUCATIONAL </t>
  </si>
  <si>
    <t>SERVICES</t>
  </si>
  <si>
    <t>Athletic study center</t>
  </si>
  <si>
    <t>College of engineering dean's office</t>
  </si>
  <si>
    <t>Re-entry program</t>
  </si>
  <si>
    <t>Student learning center</t>
  </si>
  <si>
    <t xml:space="preserve">COUNSELING AND CAREER </t>
  </si>
  <si>
    <t>GUIDANCE</t>
  </si>
  <si>
    <t>Career center</t>
  </si>
  <si>
    <t>Disabled students program</t>
  </si>
  <si>
    <t>Services for international students</t>
  </si>
  <si>
    <t>and scholarship</t>
  </si>
  <si>
    <t>FINANCIAL AID ADMINISTRATION</t>
  </si>
  <si>
    <t>Financial aid operations</t>
  </si>
  <si>
    <t>Graduate division dean</t>
  </si>
  <si>
    <t xml:space="preserve">STUDENT ADMISSIONS AND </t>
  </si>
  <si>
    <t>RECORDS</t>
  </si>
  <si>
    <t xml:space="preserve">Admissions and enrollment </t>
  </si>
  <si>
    <t>immediate office</t>
  </si>
  <si>
    <t>Admissions and relations with</t>
  </si>
  <si>
    <t>schools</t>
  </si>
  <si>
    <t>Office of the registrar</t>
  </si>
  <si>
    <t>STUDENT HEALTH SERVICES</t>
  </si>
  <si>
    <t>STUDENT AFFAIRS INFORMATION SYSTEM</t>
  </si>
  <si>
    <t>OTHER STUDENT SERVICES</t>
  </si>
  <si>
    <t xml:space="preserve">COMPENSATED ABSENCES </t>
  </si>
  <si>
    <t>ACCRUAL</t>
  </si>
  <si>
    <t>Total Student Services</t>
  </si>
  <si>
    <t>INSTITUTIONAL SUPPORT</t>
  </si>
  <si>
    <t>CHANCELLORS AND</t>
  </si>
  <si>
    <t>VICE CHANCELLORS</t>
  </si>
  <si>
    <t>Academic personnel office</t>
  </si>
  <si>
    <t xml:space="preserve">Business and administrative </t>
  </si>
  <si>
    <t xml:space="preserve">  services immediate office</t>
  </si>
  <si>
    <t>Business and administrative</t>
  </si>
  <si>
    <t xml:space="preserve">  services budget and finance</t>
  </si>
  <si>
    <t>Chancellor</t>
  </si>
  <si>
    <t>Compliance affairs</t>
  </si>
  <si>
    <t xml:space="preserve">Executive vice chancellor and </t>
  </si>
  <si>
    <t xml:space="preserve">   provost</t>
  </si>
  <si>
    <t>Health and human services</t>
  </si>
  <si>
    <t xml:space="preserve">  immediate office</t>
  </si>
  <si>
    <t>Physical and environmental planning</t>
  </si>
  <si>
    <t>Resource development</t>
  </si>
  <si>
    <t>Space management and capital</t>
  </si>
  <si>
    <t xml:space="preserve">  programs</t>
  </si>
  <si>
    <t>Staff ombuds office</t>
  </si>
  <si>
    <t>Vice chancellor budget and finance</t>
  </si>
  <si>
    <t>Vice chancellor budget computing</t>
  </si>
  <si>
    <t>Vice chancellor business and</t>
  </si>
  <si>
    <t xml:space="preserve">  administrative services</t>
  </si>
  <si>
    <t>Vice chancellor equity and inclusion</t>
  </si>
  <si>
    <t>Vice chancellor facilities services</t>
  </si>
  <si>
    <t>Vice chancellor research</t>
  </si>
  <si>
    <t>Vice chancellor university relations</t>
  </si>
  <si>
    <t>Vice provost academic affairs and</t>
  </si>
  <si>
    <t xml:space="preserve"> faculty welfare</t>
  </si>
  <si>
    <t>ACADEMIC SENATE</t>
  </si>
  <si>
    <t>PLANNING AND BUDGETING</t>
  </si>
  <si>
    <t>Budget office</t>
  </si>
  <si>
    <t>Planning and analysis office</t>
  </si>
  <si>
    <t xml:space="preserve">Strategic program management </t>
  </si>
  <si>
    <t>ACCOUNTING</t>
  </si>
  <si>
    <t>Accounting services</t>
  </si>
  <si>
    <t>Controller immediate office</t>
  </si>
  <si>
    <t>Disbursement office</t>
  </si>
  <si>
    <t>Payroll</t>
  </si>
  <si>
    <t>AUDITS</t>
  </si>
  <si>
    <t>RISK MANAGEMENT</t>
  </si>
  <si>
    <t>CONTRACTS AND GRANTS</t>
  </si>
  <si>
    <t>INFORMATION SYSTEMS</t>
  </si>
  <si>
    <t>COMPUTER CENTERS</t>
  </si>
  <si>
    <t>Information systems technology</t>
  </si>
  <si>
    <t xml:space="preserve">   associate vice chancellor</t>
  </si>
  <si>
    <t>Strategic technology planning</t>
  </si>
  <si>
    <t>Student information systems</t>
  </si>
  <si>
    <t>Technology support and services</t>
  </si>
  <si>
    <t>ENVIRONMENTAL HEALTH</t>
  </si>
  <si>
    <t>AND SAFETY</t>
  </si>
  <si>
    <t>PERSONNEL</t>
  </si>
  <si>
    <t>Human resources</t>
  </si>
  <si>
    <t>UC Berkeley retirement center</t>
  </si>
  <si>
    <t>OTHER</t>
  </si>
  <si>
    <t>Billing and payment services</t>
  </si>
  <si>
    <t>University Health Services</t>
  </si>
  <si>
    <t>Operational excellence project office</t>
  </si>
  <si>
    <t>The office for faculty equity and welfare</t>
  </si>
  <si>
    <t>Intellectual property industry research</t>
  </si>
  <si>
    <t>Student information system</t>
  </si>
  <si>
    <t>DUPLICATING</t>
  </si>
  <si>
    <t>GARAGE</t>
  </si>
  <si>
    <t>Fleet services</t>
  </si>
  <si>
    <t>Parking and transportation</t>
  </si>
  <si>
    <t>MAIL AND MESSENGER</t>
  </si>
  <si>
    <t>MATERIAL MANAGEMENT</t>
  </si>
  <si>
    <t>Material management</t>
  </si>
  <si>
    <t>Procurement</t>
  </si>
  <si>
    <t>Property management</t>
  </si>
  <si>
    <t>Real estate services office</t>
  </si>
  <si>
    <t>POLICE</t>
  </si>
  <si>
    <t>TELEPHONE</t>
  </si>
  <si>
    <t>DEVELOPMENT</t>
  </si>
  <si>
    <t>PUBLIC INFORMATION</t>
  </si>
  <si>
    <t>Community relations</t>
  </si>
  <si>
    <t>Media relations</t>
  </si>
  <si>
    <t>Public affairs</t>
  </si>
  <si>
    <t>Publications</t>
  </si>
  <si>
    <t>Total Institutional Support</t>
  </si>
  <si>
    <t xml:space="preserve">OPERATION AND MAINTENANCE </t>
  </si>
  <si>
    <t>OF PLANT</t>
  </si>
  <si>
    <t>Administration</t>
  </si>
  <si>
    <t>Chancellor university house</t>
  </si>
  <si>
    <t>Physical plant building maintenance</t>
  </si>
  <si>
    <t>Richmond Field Station</t>
  </si>
  <si>
    <t>Grounds maintenance</t>
  </si>
  <si>
    <t>Janitorial service</t>
  </si>
  <si>
    <t>Plant service</t>
  </si>
  <si>
    <t>Refuse disposal</t>
  </si>
  <si>
    <t>Utilities</t>
  </si>
  <si>
    <t xml:space="preserve">Compensated absences accrual </t>
  </si>
  <si>
    <t>Total Operation and Maintenance</t>
  </si>
  <si>
    <t xml:space="preserve"> of Plant</t>
  </si>
  <si>
    <t>STUDENT FINANCIAL AID</t>
  </si>
  <si>
    <t>Scholarship Allowance</t>
  </si>
  <si>
    <t>Total Student Financial Aid</t>
  </si>
  <si>
    <t>AUXILIARY ENTERPRISES</t>
  </si>
  <si>
    <t>APARTMENTS</t>
  </si>
  <si>
    <t>CAFETERIAS</t>
  </si>
  <si>
    <t>RESIDENCE HALLS</t>
  </si>
  <si>
    <t>INTERCOLLEGIATE ATHLETICS</t>
  </si>
  <si>
    <t>PARKING</t>
  </si>
  <si>
    <t>Total Auxiliary Enterprises</t>
  </si>
  <si>
    <t>Subtotal</t>
  </si>
  <si>
    <t>Eliminated Capital Expenditures</t>
  </si>
  <si>
    <t>Total Current Funds Expenditures</t>
  </si>
  <si>
    <t>FUNDING STREAM ASSESSMENT</t>
  </si>
  <si>
    <t>UC energy institute</t>
  </si>
  <si>
    <t>UC transportation center</t>
  </si>
  <si>
    <t xml:space="preserve">STUDENT AFFAIRS INFORMATION </t>
  </si>
  <si>
    <t>SYSTEM</t>
  </si>
  <si>
    <t>CFR Variance:</t>
  </si>
  <si>
    <t>Institute of urban &amp; regional development</t>
  </si>
  <si>
    <t>repairs and alterations</t>
  </si>
  <si>
    <t>Building maintenance and major</t>
  </si>
  <si>
    <t>PRORATION</t>
  </si>
  <si>
    <t xml:space="preserve">EDUCATIONAL FEE EXPENSE </t>
  </si>
  <si>
    <t>Library binderies</t>
  </si>
  <si>
    <t>Environmental health and safety</t>
  </si>
  <si>
    <t>Strategic program management</t>
  </si>
  <si>
    <t>Transfer and re-entry program</t>
  </si>
  <si>
    <t>Multicultural student development</t>
  </si>
  <si>
    <t>Museum informatics project</t>
  </si>
  <si>
    <t>Educational technology services</t>
  </si>
  <si>
    <t>Administrative systems</t>
  </si>
  <si>
    <t>Museum of vertibrate zoology</t>
  </si>
  <si>
    <t>Vice chancellor for research</t>
  </si>
  <si>
    <t xml:space="preserve">Institute for the study of social </t>
  </si>
  <si>
    <t>Institute of industrail relations</t>
  </si>
  <si>
    <t>Institute of government studies</t>
  </si>
  <si>
    <t>Archeoloical research facility</t>
  </si>
  <si>
    <t>Toxicology</t>
  </si>
  <si>
    <t>Center for partical astrophysics</t>
  </si>
  <si>
    <t>International and area studies teaching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</si>
</sst>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(* #,##0,_);_(* \(#,##0,\);_(* &quot;-&quot;_);_(@_)"/>
    <numFmt numFmtId="165" formatCode="_(&quot;$&quot;* #,##0,_);_(&quot;$&quot;* \(#,##0,\);_(&quot;$&quot;* &quot;-&quot;_);_(@_)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sz val="10"/>
      <color theme="1"/>
      <name val="Times New Roman"/>
      <family val="1"/>
    </font>
    <font>
      <b/>
      <sz val="10"/>
      <name val="Times New Roman"/>
      <family val="1"/>
    </font>
    <font>
      <u/>
      <sz val="10"/>
      <color theme="1"/>
      <name val="Times New Roman"/>
      <family val="1"/>
    </font>
    <font>
      <sz val="10"/>
      <color indexed="12"/>
      <name val="Times New Roman"/>
      <family val="1"/>
    </font>
    <font>
      <u/>
      <sz val="10"/>
      <name val="Times New Roman"/>
      <family val="1"/>
    </font>
    <font>
      <u val="singleAccounting"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8">
    <xf numFmtId="0" fontId="0" fillId="0" borderId="0"/>
    <xf numFmtId="164" fontId="2" fillId="0" borderId="0" applyFill="0" applyBorder="0" applyAlignment="0"/>
    <xf numFmtId="0" fontId="3" fillId="0" borderId="0"/>
    <xf numFmtId="164" fontId="7" fillId="0" borderId="0" applyFill="0" applyBorder="0" applyAlignment="0">
      <protection locked="0"/>
    </xf>
    <xf numFmtId="164" fontId="7" fillId="0" borderId="0" applyFill="0" applyBorder="0" applyAlignment="0">
      <protection locked="0"/>
    </xf>
    <xf numFmtId="164" fontId="7" fillId="0" borderId="0" applyNumberFormat="0" applyFill="0" applyBorder="0" applyAlignment="0">
      <protection locked="0"/>
    </xf>
    <xf numFmtId="0" fontId="1" fillId="0" borderId="0"/>
    <xf numFmtId="43" fontId="3" fillId="0" borderId="0" applyFont="0" applyFill="0" applyBorder="0" applyAlignment="0" applyProtection="0"/>
  </cellStyleXfs>
  <cellXfs count="110">
    <xf numFmtId="0" fontId="0" fillId="0" borderId="0" xfId="0"/>
    <xf numFmtId="49" fontId="2" fillId="0" borderId="1" xfId="1" applyNumberFormat="1" applyFont="1" applyFill="1" applyBorder="1" applyAlignment="1" applyProtection="1"/>
    <xf numFmtId="49" fontId="2" fillId="0" borderId="1" xfId="1" applyNumberFormat="1" applyFont="1" applyFill="1" applyBorder="1" applyAlignment="1" applyProtection="1">
      <alignment horizontal="left"/>
    </xf>
    <xf numFmtId="164" fontId="5" fillId="0" borderId="1" xfId="1" applyFont="1" applyFill="1" applyBorder="1" applyAlignment="1" applyProtection="1"/>
    <xf numFmtId="41" fontId="5" fillId="0" borderId="1" xfId="1" applyNumberFormat="1" applyFont="1" applyFill="1" applyBorder="1" applyAlignment="1" applyProtection="1"/>
    <xf numFmtId="49" fontId="2" fillId="0" borderId="0" xfId="1" applyNumberFormat="1" applyFont="1" applyFill="1" applyBorder="1" applyAlignment="1" applyProtection="1"/>
    <xf numFmtId="49" fontId="2" fillId="0" borderId="0" xfId="1" applyNumberFormat="1" applyFont="1" applyFill="1" applyBorder="1" applyAlignment="1" applyProtection="1">
      <alignment wrapText="1"/>
    </xf>
    <xf numFmtId="49" fontId="2" fillId="0" borderId="0" xfId="1" applyNumberFormat="1" applyFont="1" applyFill="1" applyBorder="1" applyAlignment="1" applyProtection="1">
      <alignment horizontal="left" wrapText="1"/>
    </xf>
    <xf numFmtId="164" fontId="5" fillId="0" borderId="3" xfId="1" applyFont="1" applyFill="1" applyBorder="1" applyAlignment="1" applyProtection="1">
      <alignment horizontal="center" wrapText="1"/>
    </xf>
    <xf numFmtId="41" fontId="5" fillId="0" borderId="0" xfId="1" applyNumberFormat="1" applyFont="1" applyFill="1" applyBorder="1" applyAlignment="1" applyProtection="1">
      <alignment wrapText="1"/>
    </xf>
    <xf numFmtId="41" fontId="5" fillId="0" borderId="3" xfId="1" applyNumberFormat="1" applyFont="1" applyFill="1" applyBorder="1" applyAlignment="1" applyProtection="1">
      <alignment horizontal="centerContinuous" wrapText="1"/>
    </xf>
    <xf numFmtId="41" fontId="5" fillId="0" borderId="0" xfId="1" applyNumberFormat="1" applyFont="1" applyFill="1" applyBorder="1" applyAlignment="1" applyProtection="1">
      <alignment horizontal="center" wrapText="1"/>
    </xf>
    <xf numFmtId="41" fontId="5" fillId="0" borderId="3" xfId="1" applyNumberFormat="1" applyFont="1" applyFill="1" applyBorder="1" applyAlignment="1" applyProtection="1">
      <alignment horizontal="center" wrapText="1"/>
    </xf>
    <xf numFmtId="49" fontId="2" fillId="0" borderId="0" xfId="1" applyNumberFormat="1" applyFont="1" applyFill="1" applyBorder="1" applyAlignment="1" applyProtection="1">
      <alignment horizontal="left"/>
    </xf>
    <xf numFmtId="164" fontId="5" fillId="0" borderId="0" xfId="1" applyFont="1" applyFill="1" applyBorder="1" applyAlignment="1" applyProtection="1"/>
    <xf numFmtId="41" fontId="5" fillId="0" borderId="0" xfId="1" applyNumberFormat="1" applyFont="1" applyFill="1" applyBorder="1" applyAlignment="1" applyProtection="1"/>
    <xf numFmtId="41" fontId="5" fillId="0" borderId="3" xfId="1" applyNumberFormat="1" applyFont="1" applyFill="1" applyBorder="1" applyAlignment="1" applyProtection="1">
      <alignment horizontal="center"/>
    </xf>
    <xf numFmtId="41" fontId="5" fillId="0" borderId="0" xfId="1" applyNumberFormat="1" applyFont="1" applyFill="1" applyBorder="1" applyAlignment="1" applyProtection="1">
      <alignment horizontal="center"/>
    </xf>
    <xf numFmtId="0" fontId="5" fillId="0" borderId="0" xfId="2" applyFont="1" applyFill="1" applyProtection="1"/>
    <xf numFmtId="0" fontId="6" fillId="0" borderId="3" xfId="0" applyFont="1" applyBorder="1" applyProtection="1"/>
    <xf numFmtId="0" fontId="4" fillId="0" borderId="0" xfId="0" applyFont="1" applyProtection="1"/>
    <xf numFmtId="0" fontId="4" fillId="0" borderId="0" xfId="0" applyFont="1" applyFill="1" applyProtection="1"/>
    <xf numFmtId="0" fontId="6" fillId="0" borderId="0" xfId="0" applyFont="1" applyProtection="1"/>
    <xf numFmtId="165" fontId="2" fillId="0" borderId="0" xfId="1" applyNumberFormat="1" applyFont="1" applyFill="1" applyBorder="1" applyAlignment="1" applyProtection="1"/>
    <xf numFmtId="164" fontId="2" fillId="0" borderId="0" xfId="1" applyFont="1" applyFill="1" applyBorder="1" applyAlignment="1" applyProtection="1"/>
    <xf numFmtId="164" fontId="4" fillId="0" borderId="0" xfId="0" applyNumberFormat="1" applyFont="1" applyProtection="1"/>
    <xf numFmtId="164" fontId="2" fillId="0" borderId="3" xfId="1" applyFont="1" applyFill="1" applyBorder="1" applyAlignment="1" applyProtection="1"/>
    <xf numFmtId="164" fontId="4" fillId="0" borderId="3" xfId="0" applyNumberFormat="1" applyFont="1" applyBorder="1" applyProtection="1"/>
    <xf numFmtId="164" fontId="4" fillId="0" borderId="3" xfId="0" applyNumberFormat="1" applyFont="1" applyFill="1" applyBorder="1" applyProtection="1"/>
    <xf numFmtId="0" fontId="4" fillId="0" borderId="3" xfId="0" applyFont="1" applyBorder="1" applyProtection="1"/>
    <xf numFmtId="164" fontId="4" fillId="0" borderId="0" xfId="0" applyNumberFormat="1" applyFont="1" applyFill="1" applyBorder="1" applyProtection="1"/>
    <xf numFmtId="164" fontId="4" fillId="0" borderId="0" xfId="0" applyNumberFormat="1" applyFont="1" applyFill="1" applyProtection="1"/>
    <xf numFmtId="164" fontId="2" fillId="0" borderId="3" xfId="0" applyNumberFormat="1" applyFont="1" applyFill="1" applyBorder="1" applyProtection="1"/>
    <xf numFmtId="49" fontId="5" fillId="0" borderId="0" xfId="1" applyNumberFormat="1" applyFont="1" applyFill="1" applyAlignment="1" applyProtection="1">
      <alignment horizontal="left"/>
    </xf>
    <xf numFmtId="165" fontId="5" fillId="0" borderId="4" xfId="1" applyNumberFormat="1" applyFont="1" applyFill="1" applyBorder="1" applyAlignment="1" applyProtection="1"/>
    <xf numFmtId="0" fontId="0" fillId="0" borderId="0" xfId="0" applyProtection="1"/>
    <xf numFmtId="0" fontId="0" fillId="0" borderId="0" xfId="0" applyFill="1" applyProtection="1"/>
    <xf numFmtId="165" fontId="5" fillId="0" borderId="4" xfId="3" applyNumberFormat="1" applyFont="1" applyBorder="1">
      <protection locked="0"/>
    </xf>
    <xf numFmtId="164" fontId="5" fillId="0" borderId="0" xfId="3" applyFont="1">
      <protection locked="0"/>
    </xf>
    <xf numFmtId="41" fontId="5" fillId="0" borderId="0" xfId="1" applyNumberFormat="1" applyFont="1" applyProtection="1">
      <protection locked="0"/>
    </xf>
    <xf numFmtId="165" fontId="5" fillId="0" borderId="4" xfId="1" applyNumberFormat="1" applyFont="1" applyBorder="1"/>
    <xf numFmtId="49" fontId="5" fillId="0" borderId="0" xfId="1" applyNumberFormat="1" applyFont="1" applyAlignment="1" applyProtection="1">
      <alignment horizontal="left"/>
      <protection locked="0"/>
    </xf>
    <xf numFmtId="0" fontId="4" fillId="0" borderId="0" xfId="0" applyFont="1"/>
    <xf numFmtId="164" fontId="4" fillId="0" borderId="3" xfId="0" applyNumberFormat="1" applyFont="1" applyBorder="1"/>
    <xf numFmtId="0" fontId="6" fillId="0" borderId="0" xfId="0" applyFont="1"/>
    <xf numFmtId="164" fontId="4" fillId="0" borderId="0" xfId="0" applyNumberFormat="1" applyFont="1"/>
    <xf numFmtId="165" fontId="2" fillId="0" borderId="0" xfId="1" applyNumberFormat="1"/>
    <xf numFmtId="0" fontId="6" fillId="0" borderId="3" xfId="0" applyFont="1" applyBorder="1"/>
    <xf numFmtId="0" fontId="5" fillId="0" borderId="0" xfId="2" applyFont="1"/>
    <xf numFmtId="41" fontId="5" fillId="0" borderId="0" xfId="1" applyNumberFormat="1" applyFont="1" applyAlignment="1" applyProtection="1">
      <alignment horizontal="center"/>
      <protection locked="0"/>
    </xf>
    <xf numFmtId="41" fontId="5" fillId="0" borderId="3" xfId="1" applyNumberFormat="1" applyFont="1" applyBorder="1" applyAlignment="1" applyProtection="1">
      <alignment horizontal="center"/>
      <protection locked="0"/>
    </xf>
    <xf numFmtId="164" fontId="5" fillId="0" borderId="0" xfId="1" applyFont="1"/>
    <xf numFmtId="49" fontId="2" fillId="0" borderId="0" xfId="1" applyNumberFormat="1" applyAlignment="1" applyProtection="1">
      <alignment horizontal="left"/>
      <protection locked="0"/>
    </xf>
    <xf numFmtId="49" fontId="2" fillId="0" borderId="0" xfId="1" applyNumberFormat="1" applyProtection="1">
      <protection locked="0"/>
    </xf>
    <xf numFmtId="41" fontId="5" fillId="0" borderId="3" xfId="1" applyNumberFormat="1" applyFont="1" applyBorder="1" applyAlignment="1" applyProtection="1">
      <alignment horizontal="center" wrapText="1"/>
      <protection locked="0"/>
    </xf>
    <xf numFmtId="41" fontId="5" fillId="0" borderId="0" xfId="1" applyNumberFormat="1" applyFont="1" applyAlignment="1" applyProtection="1">
      <alignment horizontal="center" wrapText="1"/>
      <protection locked="0"/>
    </xf>
    <xf numFmtId="41" fontId="5" fillId="0" borderId="3" xfId="1" applyNumberFormat="1" applyFont="1" applyBorder="1" applyAlignment="1" applyProtection="1">
      <alignment horizontal="centerContinuous" wrapText="1"/>
      <protection locked="0"/>
    </xf>
    <xf numFmtId="41" fontId="5" fillId="0" borderId="0" xfId="1" applyNumberFormat="1" applyFont="1" applyAlignment="1" applyProtection="1">
      <alignment wrapText="1"/>
      <protection locked="0"/>
    </xf>
    <xf numFmtId="164" fontId="5" fillId="0" borderId="3" xfId="1" applyFont="1" applyBorder="1" applyAlignment="1">
      <alignment horizontal="center" wrapText="1"/>
    </xf>
    <xf numFmtId="49" fontId="2" fillId="0" borderId="0" xfId="1" applyNumberFormat="1" applyAlignment="1" applyProtection="1">
      <alignment horizontal="left" wrapText="1"/>
      <protection locked="0"/>
    </xf>
    <xf numFmtId="49" fontId="2" fillId="0" borderId="0" xfId="1" applyNumberFormat="1" applyAlignment="1" applyProtection="1">
      <alignment wrapText="1"/>
      <protection locked="0"/>
    </xf>
    <xf numFmtId="41" fontId="5" fillId="0" borderId="1" xfId="1" applyNumberFormat="1" applyFont="1" applyBorder="1" applyProtection="1">
      <protection locked="0"/>
    </xf>
    <xf numFmtId="164" fontId="5" fillId="0" borderId="1" xfId="1" applyFont="1" applyBorder="1"/>
    <xf numFmtId="49" fontId="2" fillId="0" borderId="1" xfId="1" applyNumberFormat="1" applyBorder="1" applyAlignment="1" applyProtection="1">
      <alignment horizontal="left"/>
      <protection locked="0"/>
    </xf>
    <xf numFmtId="49" fontId="2" fillId="0" borderId="1" xfId="1" applyNumberFormat="1" applyBorder="1" applyProtection="1">
      <protection locked="0"/>
    </xf>
    <xf numFmtId="164" fontId="2" fillId="0" borderId="1" xfId="1" applyBorder="1"/>
    <xf numFmtId="41" fontId="2" fillId="0" borderId="1" xfId="1" applyNumberFormat="1" applyBorder="1" applyProtection="1">
      <protection locked="0"/>
    </xf>
    <xf numFmtId="41" fontId="2" fillId="0" borderId="2" xfId="1" applyNumberFormat="1" applyBorder="1" applyAlignment="1" applyProtection="1">
      <alignment horizontal="centerContinuous"/>
      <protection locked="0"/>
    </xf>
    <xf numFmtId="0" fontId="2" fillId="0" borderId="2" xfId="2" applyFont="1" applyBorder="1" applyAlignment="1">
      <alignment horizontal="centerContinuous"/>
    </xf>
    <xf numFmtId="41" fontId="2" fillId="0" borderId="0" xfId="1" applyNumberFormat="1" applyProtection="1">
      <protection locked="0"/>
    </xf>
    <xf numFmtId="164" fontId="2" fillId="0" borderId="3" xfId="1" applyBorder="1" applyAlignment="1">
      <alignment horizontal="center" wrapText="1"/>
    </xf>
    <xf numFmtId="41" fontId="2" fillId="0" borderId="0" xfId="1" applyNumberFormat="1" applyAlignment="1" applyProtection="1">
      <alignment wrapText="1"/>
      <protection locked="0"/>
    </xf>
    <xf numFmtId="41" fontId="2" fillId="0" borderId="3" xfId="1" applyNumberFormat="1" applyBorder="1" applyAlignment="1" applyProtection="1">
      <alignment horizontal="centerContinuous" wrapText="1"/>
      <protection locked="0"/>
    </xf>
    <xf numFmtId="41" fontId="2" fillId="0" borderId="0" xfId="1" applyNumberFormat="1" applyAlignment="1" applyProtection="1">
      <alignment horizontal="center" wrapText="1"/>
      <protection locked="0"/>
    </xf>
    <xf numFmtId="41" fontId="2" fillId="0" borderId="3" xfId="1" applyNumberFormat="1" applyBorder="1" applyAlignment="1" applyProtection="1">
      <alignment horizontal="center" wrapText="1"/>
      <protection locked="0"/>
    </xf>
    <xf numFmtId="164" fontId="2" fillId="0" borderId="0" xfId="1"/>
    <xf numFmtId="41" fontId="2" fillId="0" borderId="3" xfId="1" applyNumberFormat="1" applyBorder="1" applyAlignment="1" applyProtection="1">
      <alignment horizontal="center"/>
      <protection locked="0"/>
    </xf>
    <xf numFmtId="41" fontId="2" fillId="0" borderId="0" xfId="1" applyNumberFormat="1" applyAlignment="1" applyProtection="1">
      <alignment horizontal="center"/>
      <protection locked="0"/>
    </xf>
    <xf numFmtId="0" fontId="2" fillId="0" borderId="0" xfId="2" applyFont="1"/>
    <xf numFmtId="49" fontId="8" fillId="0" borderId="0" xfId="1" applyNumberFormat="1" applyFont="1" applyProtection="1">
      <protection locked="0"/>
    </xf>
    <xf numFmtId="49" fontId="9" fillId="0" borderId="0" xfId="1" applyNumberFormat="1" applyFont="1" applyProtection="1">
      <protection locked="0"/>
    </xf>
    <xf numFmtId="49" fontId="9" fillId="0" borderId="0" xfId="2" applyNumberFormat="1" applyFont="1"/>
    <xf numFmtId="164" fontId="2" fillId="0" borderId="0" xfId="1" applyAlignment="1">
      <alignment horizontal="center"/>
    </xf>
    <xf numFmtId="42" fontId="2" fillId="0" borderId="0" xfId="1" applyNumberFormat="1" applyProtection="1">
      <protection locked="0"/>
    </xf>
    <xf numFmtId="42" fontId="2" fillId="0" borderId="0" xfId="1" applyNumberFormat="1" applyAlignment="1" applyProtection="1">
      <alignment horizontal="center"/>
      <protection locked="0"/>
    </xf>
    <xf numFmtId="37" fontId="2" fillId="0" borderId="0" xfId="1" applyNumberFormat="1" applyAlignment="1" applyProtection="1">
      <alignment horizontal="center"/>
      <protection locked="0"/>
    </xf>
    <xf numFmtId="164" fontId="2" fillId="0" borderId="0" xfId="1" applyProtection="1">
      <protection locked="0"/>
    </xf>
    <xf numFmtId="49" fontId="8" fillId="0" borderId="0" xfId="1" applyNumberFormat="1" applyFont="1" applyAlignment="1" applyProtection="1">
      <alignment horizontal="left"/>
      <protection locked="0"/>
    </xf>
    <xf numFmtId="49" fontId="2" fillId="0" borderId="0" xfId="2" applyNumberFormat="1" applyFont="1" applyProtection="1">
      <protection locked="0"/>
    </xf>
    <xf numFmtId="37" fontId="2" fillId="0" borderId="0" xfId="1" applyNumberFormat="1" applyProtection="1">
      <protection locked="0"/>
    </xf>
    <xf numFmtId="164" fontId="2" fillId="0" borderId="0" xfId="3" applyFont="1">
      <protection locked="0"/>
    </xf>
    <xf numFmtId="49" fontId="2" fillId="0" borderId="0" xfId="2" applyNumberFormat="1" applyFont="1"/>
    <xf numFmtId="165" fontId="2" fillId="0" borderId="0" xfId="1" applyNumberFormat="1" applyProtection="1">
      <protection locked="0"/>
    </xf>
    <xf numFmtId="165" fontId="2" fillId="0" borderId="0" xfId="3" applyNumberFormat="1" applyFont="1">
      <protection locked="0"/>
    </xf>
    <xf numFmtId="164" fontId="2" fillId="0" borderId="3" xfId="1" applyBorder="1"/>
    <xf numFmtId="164" fontId="2" fillId="0" borderId="3" xfId="3" applyFont="1" applyBorder="1">
      <protection locked="0"/>
    </xf>
    <xf numFmtId="41" fontId="2" fillId="0" borderId="0" xfId="3" applyNumberFormat="1" applyFont="1">
      <protection locked="0"/>
    </xf>
    <xf numFmtId="49" fontId="8" fillId="0" borderId="0" xfId="2" applyNumberFormat="1" applyFont="1" applyProtection="1">
      <protection locked="0"/>
    </xf>
    <xf numFmtId="0" fontId="2" fillId="0" borderId="0" xfId="2" applyFont="1" applyProtection="1">
      <protection locked="0"/>
    </xf>
    <xf numFmtId="41" fontId="2" fillId="0" borderId="3" xfId="1" applyNumberFormat="1" applyBorder="1" applyProtection="1">
      <protection locked="0"/>
    </xf>
    <xf numFmtId="164" fontId="2" fillId="0" borderId="1" xfId="3" applyFont="1" applyBorder="1">
      <protection locked="0"/>
    </xf>
    <xf numFmtId="49" fontId="4" fillId="0" borderId="0" xfId="1" applyNumberFormat="1" applyFont="1" applyProtection="1">
      <protection locked="0"/>
    </xf>
    <xf numFmtId="165" fontId="2" fillId="0" borderId="4" xfId="7" applyNumberFormat="1" applyFont="1" applyBorder="1" applyProtection="1">
      <protection locked="0"/>
    </xf>
    <xf numFmtId="166" fontId="2" fillId="0" borderId="0" xfId="7" applyNumberFormat="1" applyFont="1" applyProtection="1">
      <protection locked="0"/>
    </xf>
    <xf numFmtId="49" fontId="2" fillId="0" borderId="0" xfId="1" applyNumberFormat="1" applyAlignment="1" applyProtection="1">
      <alignment horizontal="right"/>
      <protection locked="0"/>
    </xf>
    <xf numFmtId="164" fontId="2" fillId="0" borderId="3" xfId="1" applyBorder="1" applyProtection="1">
      <protection locked="0"/>
    </xf>
    <xf numFmtId="165" fontId="2" fillId="0" borderId="4" xfId="1" applyNumberFormat="1" applyBorder="1"/>
    <xf numFmtId="165" fontId="2" fillId="0" borderId="4" xfId="3" applyNumberFormat="1" applyFont="1" applyBorder="1">
      <protection locked="0"/>
    </xf>
    <xf numFmtId="41" fontId="5" fillId="0" borderId="2" xfId="1" applyNumberFormat="1" applyFont="1" applyBorder="1" applyAlignment="1" applyProtection="1">
      <alignment horizontal="center"/>
      <protection locked="0"/>
    </xf>
    <xf numFmtId="41" fontId="5" fillId="0" borderId="2" xfId="1" applyNumberFormat="1" applyFont="1" applyFill="1" applyBorder="1" applyAlignment="1" applyProtection="1">
      <alignment horizontal="center"/>
    </xf>
  </cellXfs>
  <cellStyles count="8">
    <cellStyle name="Campus-entered" xfId="3" xr:uid="{00000000-0005-0000-0000-000000000000}"/>
    <cellStyle name="Campus-entered 2" xfId="5" xr:uid="{00000000-0005-0000-0000-000001000000}"/>
    <cellStyle name="Campus-entered_la05schc" xfId="4" xr:uid="{00000000-0005-0000-0000-000002000000}"/>
    <cellStyle name="Comma 2" xfId="7" xr:uid="{41089223-DA95-FE4E-BAA5-A592D79D47B5}"/>
    <cellStyle name="Normal" xfId="0" builtinId="0"/>
    <cellStyle name="Normal 2" xfId="6" xr:uid="{4B6B1492-A74E-5347-94A3-AF39B87C89FC}"/>
    <cellStyle name="Normal 4" xfId="2" xr:uid="{00000000-0005-0000-0000-000004000000}"/>
    <cellStyle name="Not-campus-entered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RevExpensereport10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nguyen/AppData/Roaming/Microsoft/Excel/La16schbcd-draft%20(version%201)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KFY16Sch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Summary"/>
      <sheetName val="Revenue"/>
      <sheetName val="ExpSummary"/>
      <sheetName val="ProgramExp"/>
      <sheetName val="Expense 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C1" t="str">
            <v>Acct/Sub</v>
          </cell>
          <cell r="D1" t="str">
            <v>Descr</v>
          </cell>
          <cell r="E1" t="str">
            <v>Sum of DrAmt</v>
          </cell>
          <cell r="F1" t="str">
            <v>Sum of CrAmt</v>
          </cell>
          <cell r="G1" t="str">
            <v>Total Balance</v>
          </cell>
        </row>
        <row r="2">
          <cell r="C2" t="str">
            <v>10020000UG</v>
          </cell>
          <cell r="D2" t="str">
            <v>Checking - Union Bank</v>
          </cell>
          <cell r="E2">
            <v>517804.35</v>
          </cell>
          <cell r="F2">
            <v>555198.17000000004</v>
          </cell>
          <cell r="G2">
            <v>-19303.96</v>
          </cell>
        </row>
        <row r="3">
          <cell r="C3" t="str">
            <v>10050000UG</v>
          </cell>
          <cell r="D3" t="str">
            <v>Valley Checking- Washing M</v>
          </cell>
          <cell r="E3">
            <v>0</v>
          </cell>
          <cell r="F3">
            <v>0</v>
          </cell>
          <cell r="G3">
            <v>10615.05</v>
          </cell>
        </row>
        <row r="4">
          <cell r="C4" t="str">
            <v>10100000UG</v>
          </cell>
          <cell r="D4" t="str">
            <v>Westlake Checking - CitiBank</v>
          </cell>
          <cell r="E4">
            <v>0</v>
          </cell>
          <cell r="F4">
            <v>0</v>
          </cell>
          <cell r="G4">
            <v>17363.03</v>
          </cell>
        </row>
        <row r="5">
          <cell r="C5" t="str">
            <v>10200000UG</v>
          </cell>
          <cell r="D5" t="str">
            <v>Orange County - Wells</v>
          </cell>
          <cell r="E5">
            <v>0</v>
          </cell>
          <cell r="F5">
            <v>0</v>
          </cell>
          <cell r="G5">
            <v>521.77</v>
          </cell>
        </row>
        <row r="6">
          <cell r="C6" t="str">
            <v>11000101TE</v>
          </cell>
          <cell r="D6" t="str">
            <v>UC Stip - Hamburger</v>
          </cell>
          <cell r="E6">
            <v>0</v>
          </cell>
          <cell r="F6">
            <v>0</v>
          </cell>
          <cell r="G6">
            <v>44027.74</v>
          </cell>
        </row>
        <row r="7">
          <cell r="C7" t="str">
            <v>12000000TO</v>
          </cell>
          <cell r="D7" t="str">
            <v>UC Fnd. - S/T Invest.</v>
          </cell>
          <cell r="E7">
            <v>0</v>
          </cell>
          <cell r="F7">
            <v>0</v>
          </cell>
          <cell r="G7">
            <v>933863.29</v>
          </cell>
        </row>
        <row r="8">
          <cell r="C8" t="str">
            <v>12000000UG</v>
          </cell>
          <cell r="D8" t="str">
            <v>UC Fnd. - S/T Invest.</v>
          </cell>
          <cell r="E8">
            <v>192166.38</v>
          </cell>
          <cell r="F8">
            <v>65000</v>
          </cell>
          <cell r="G8">
            <v>1752113.65</v>
          </cell>
        </row>
        <row r="9">
          <cell r="C9" t="str">
            <v>12000502TO</v>
          </cell>
          <cell r="D9" t="str">
            <v>UC Fnd. - S/T Invest.</v>
          </cell>
          <cell r="E9">
            <v>0</v>
          </cell>
          <cell r="F9">
            <v>0</v>
          </cell>
          <cell r="G9">
            <v>28651.919999999998</v>
          </cell>
        </row>
        <row r="10">
          <cell r="C10" t="str">
            <v>12200000UG</v>
          </cell>
          <cell r="D10" t="str">
            <v>UCLA Foundation Bankcard Dep</v>
          </cell>
          <cell r="E10">
            <v>103785</v>
          </cell>
          <cell r="F10">
            <v>2402.16</v>
          </cell>
          <cell r="G10">
            <v>112725.31</v>
          </cell>
        </row>
        <row r="11">
          <cell r="C11" t="str">
            <v>13000101PE</v>
          </cell>
          <cell r="D11" t="str">
            <v>UC LT Pool - Hamburger</v>
          </cell>
          <cell r="E11">
            <v>0</v>
          </cell>
          <cell r="F11">
            <v>0</v>
          </cell>
          <cell r="G11">
            <v>1015773.16</v>
          </cell>
        </row>
        <row r="12">
          <cell r="C12" t="str">
            <v>13100101PE</v>
          </cell>
          <cell r="D12" t="str">
            <v>UC  - Unreal. G/L</v>
          </cell>
          <cell r="E12">
            <v>0</v>
          </cell>
          <cell r="F12">
            <v>0</v>
          </cell>
          <cell r="G12">
            <v>2835729.36</v>
          </cell>
        </row>
        <row r="13">
          <cell r="C13" t="str">
            <v>14000000UG</v>
          </cell>
          <cell r="D13" t="str">
            <v>UC Fnd. - L/T Invest.</v>
          </cell>
          <cell r="E13">
            <v>0</v>
          </cell>
          <cell r="F13">
            <v>0</v>
          </cell>
          <cell r="G13">
            <v>2010259.89</v>
          </cell>
        </row>
        <row r="14">
          <cell r="C14" t="str">
            <v>14050000UG</v>
          </cell>
          <cell r="D14" t="str">
            <v>UC Fnd. - Real G/L</v>
          </cell>
          <cell r="E14">
            <v>12576.68</v>
          </cell>
          <cell r="F14">
            <v>1859.8</v>
          </cell>
          <cell r="G14">
            <v>-56271.86</v>
          </cell>
        </row>
        <row r="15">
          <cell r="C15" t="str">
            <v>14100000UG</v>
          </cell>
          <cell r="D15" t="str">
            <v>UC Fnd. - Unreal. G/L</v>
          </cell>
          <cell r="E15">
            <v>0</v>
          </cell>
          <cell r="F15">
            <v>54274.2</v>
          </cell>
          <cell r="G15">
            <v>291633.7</v>
          </cell>
        </row>
        <row r="16">
          <cell r="C16" t="str">
            <v>14150000UG</v>
          </cell>
          <cell r="D16" t="str">
            <v>UC Fnd. - Inv Inc</v>
          </cell>
          <cell r="E16">
            <v>16759.78</v>
          </cell>
          <cell r="F16">
            <v>574.66</v>
          </cell>
          <cell r="G16">
            <v>746590.65</v>
          </cell>
        </row>
        <row r="17">
          <cell r="C17" t="str">
            <v>15000101TE</v>
          </cell>
          <cell r="D17" t="str">
            <v>Accrued Investment Income Rec.</v>
          </cell>
          <cell r="E17">
            <v>0</v>
          </cell>
          <cell r="F17">
            <v>0</v>
          </cell>
          <cell r="G17">
            <v>19515.12</v>
          </cell>
        </row>
        <row r="18">
          <cell r="C18" t="str">
            <v>16010000TO</v>
          </cell>
          <cell r="D18" t="str">
            <v>Split Interest Agreements</v>
          </cell>
          <cell r="E18">
            <v>0</v>
          </cell>
          <cell r="F18">
            <v>0</v>
          </cell>
          <cell r="G18">
            <v>149782.70000000001</v>
          </cell>
        </row>
        <row r="19">
          <cell r="C19" t="str">
            <v>16010000UG</v>
          </cell>
          <cell r="D19" t="str">
            <v>Split Interest Agreements</v>
          </cell>
          <cell r="E19">
            <v>0</v>
          </cell>
          <cell r="F19">
            <v>0</v>
          </cell>
          <cell r="G19">
            <v>75582.64</v>
          </cell>
        </row>
        <row r="20">
          <cell r="C20" t="str">
            <v>17000000UG</v>
          </cell>
          <cell r="D20" t="str">
            <v>Account Receivable</v>
          </cell>
          <cell r="E20">
            <v>0</v>
          </cell>
          <cell r="F20">
            <v>0</v>
          </cell>
          <cell r="G20">
            <v>0</v>
          </cell>
        </row>
        <row r="21">
          <cell r="C21" t="str">
            <v>17000710TO</v>
          </cell>
          <cell r="D21" t="str">
            <v>Account Receivable</v>
          </cell>
          <cell r="E21">
            <v>0</v>
          </cell>
          <cell r="F21">
            <v>0</v>
          </cell>
          <cell r="G21">
            <v>0</v>
          </cell>
        </row>
        <row r="22">
          <cell r="C22" t="str">
            <v>17060000UG</v>
          </cell>
          <cell r="D22" t="str">
            <v>Prepaid Expenses - GASSON</v>
          </cell>
          <cell r="E22">
            <v>123000</v>
          </cell>
          <cell r="F22">
            <v>48446.91</v>
          </cell>
          <cell r="G22">
            <v>96425.63</v>
          </cell>
        </row>
        <row r="23">
          <cell r="C23" t="str">
            <v>17070000UG</v>
          </cell>
          <cell r="D23" t="str">
            <v>Prepaid Expenses - Events</v>
          </cell>
          <cell r="E23">
            <v>0</v>
          </cell>
          <cell r="F23">
            <v>0</v>
          </cell>
          <cell r="G23">
            <v>224.85</v>
          </cell>
        </row>
        <row r="24">
          <cell r="C24" t="str">
            <v>18000000UG</v>
          </cell>
          <cell r="D24" t="str">
            <v>Pledges Receivable</v>
          </cell>
          <cell r="E24">
            <v>150000</v>
          </cell>
          <cell r="F24">
            <v>0</v>
          </cell>
          <cell r="G24">
            <v>150000</v>
          </cell>
        </row>
        <row r="25">
          <cell r="C25" t="str">
            <v>18000201TN</v>
          </cell>
          <cell r="D25" t="str">
            <v>Pledges Receivable</v>
          </cell>
          <cell r="E25">
            <v>0</v>
          </cell>
          <cell r="F25">
            <v>0</v>
          </cell>
          <cell r="G25">
            <v>12500</v>
          </cell>
        </row>
        <row r="26">
          <cell r="C26" t="str">
            <v>18000201TP</v>
          </cell>
          <cell r="D26" t="str">
            <v>Pledges Receivable</v>
          </cell>
          <cell r="E26">
            <v>0</v>
          </cell>
          <cell r="F26">
            <v>0</v>
          </cell>
          <cell r="G26">
            <v>12500</v>
          </cell>
        </row>
        <row r="27">
          <cell r="C27" t="str">
            <v>18000201TQ</v>
          </cell>
          <cell r="D27" t="str">
            <v>Pledges Receivable</v>
          </cell>
          <cell r="E27">
            <v>0</v>
          </cell>
          <cell r="F27">
            <v>0</v>
          </cell>
          <cell r="G27">
            <v>62500</v>
          </cell>
        </row>
        <row r="28">
          <cell r="C28" t="str">
            <v>18000201TS</v>
          </cell>
          <cell r="D28" t="str">
            <v>Pledges Receivable</v>
          </cell>
          <cell r="E28">
            <v>0</v>
          </cell>
          <cell r="F28">
            <v>0</v>
          </cell>
          <cell r="G28">
            <v>62500</v>
          </cell>
        </row>
        <row r="29">
          <cell r="C29" t="str">
            <v>18000201TT</v>
          </cell>
          <cell r="D29" t="str">
            <v>Pledges Receivable</v>
          </cell>
          <cell r="E29">
            <v>0</v>
          </cell>
          <cell r="F29">
            <v>0</v>
          </cell>
          <cell r="G29">
            <v>112500</v>
          </cell>
        </row>
        <row r="30">
          <cell r="C30" t="str">
            <v>18000201TU</v>
          </cell>
          <cell r="D30" t="str">
            <v>Pledges Receivable</v>
          </cell>
          <cell r="E30">
            <v>0</v>
          </cell>
          <cell r="F30">
            <v>0</v>
          </cell>
          <cell r="G30">
            <v>112500</v>
          </cell>
        </row>
        <row r="31">
          <cell r="C31" t="str">
            <v>18000201TV</v>
          </cell>
          <cell r="D31" t="str">
            <v>Pledges Receivable</v>
          </cell>
          <cell r="E31">
            <v>0</v>
          </cell>
          <cell r="F31">
            <v>0</v>
          </cell>
          <cell r="G31">
            <v>6250</v>
          </cell>
        </row>
        <row r="32">
          <cell r="C32" t="str">
            <v>18000217TO</v>
          </cell>
          <cell r="D32" t="str">
            <v>Pledges Receivable</v>
          </cell>
          <cell r="E32">
            <v>0</v>
          </cell>
          <cell r="F32">
            <v>0</v>
          </cell>
          <cell r="G32">
            <v>165000</v>
          </cell>
        </row>
        <row r="33">
          <cell r="C33" t="str">
            <v>18000405TO</v>
          </cell>
          <cell r="D33" t="str">
            <v>Pledges Receivable</v>
          </cell>
          <cell r="E33">
            <v>0</v>
          </cell>
          <cell r="F33">
            <v>0</v>
          </cell>
          <cell r="G33">
            <v>575000</v>
          </cell>
        </row>
        <row r="34">
          <cell r="C34" t="str">
            <v>18000601UG</v>
          </cell>
          <cell r="D34" t="str">
            <v>Pledges Receivable</v>
          </cell>
          <cell r="E34">
            <v>0</v>
          </cell>
          <cell r="F34">
            <v>0</v>
          </cell>
          <cell r="G34">
            <v>-750</v>
          </cell>
        </row>
        <row r="35">
          <cell r="C35" t="str">
            <v>18000707TO</v>
          </cell>
          <cell r="D35" t="str">
            <v>Pledges Receivable</v>
          </cell>
          <cell r="E35">
            <v>0</v>
          </cell>
          <cell r="F35">
            <v>200000</v>
          </cell>
          <cell r="G35">
            <v>1400000</v>
          </cell>
        </row>
        <row r="36">
          <cell r="C36" t="str">
            <v>18000708TO</v>
          </cell>
          <cell r="D36" t="str">
            <v>Pledges Receivable</v>
          </cell>
          <cell r="E36">
            <v>0</v>
          </cell>
          <cell r="F36">
            <v>0</v>
          </cell>
          <cell r="G36">
            <v>240000</v>
          </cell>
        </row>
        <row r="37">
          <cell r="C37" t="str">
            <v>18000718TO</v>
          </cell>
          <cell r="D37" t="str">
            <v>Pledges Receivable</v>
          </cell>
          <cell r="E37">
            <v>0</v>
          </cell>
          <cell r="F37">
            <v>0</v>
          </cell>
          <cell r="G37">
            <v>300000</v>
          </cell>
        </row>
        <row r="38">
          <cell r="C38" t="str">
            <v>18000720TO</v>
          </cell>
          <cell r="D38" t="str">
            <v>Pledges Receivable</v>
          </cell>
          <cell r="E38">
            <v>10000</v>
          </cell>
          <cell r="F38">
            <v>0</v>
          </cell>
          <cell r="G38">
            <v>43000</v>
          </cell>
        </row>
        <row r="39">
          <cell r="C39" t="str">
            <v>1890F000TO</v>
          </cell>
          <cell r="D39" t="str">
            <v>Allowance for Uncoll Pledges</v>
          </cell>
          <cell r="E39">
            <v>0</v>
          </cell>
          <cell r="F39">
            <v>0</v>
          </cell>
          <cell r="G39">
            <v>-3283</v>
          </cell>
        </row>
        <row r="40">
          <cell r="C40" t="str">
            <v>1895F000TO</v>
          </cell>
          <cell r="D40" t="str">
            <v>Pledges Rec. - Discount</v>
          </cell>
          <cell r="E40">
            <v>0</v>
          </cell>
          <cell r="F40">
            <v>0</v>
          </cell>
          <cell r="G40">
            <v>-272188</v>
          </cell>
        </row>
        <row r="41">
          <cell r="C41" t="str">
            <v>20100000UG</v>
          </cell>
          <cell r="D41" t="str">
            <v>A/P Accrued Expense</v>
          </cell>
          <cell r="E41">
            <v>0</v>
          </cell>
          <cell r="F41">
            <v>343.73</v>
          </cell>
          <cell r="G41">
            <v>751.98</v>
          </cell>
        </row>
        <row r="42">
          <cell r="C42" t="str">
            <v>21000101PE</v>
          </cell>
          <cell r="D42" t="str">
            <v>Deferred Income - Unrealized G</v>
          </cell>
          <cell r="E42">
            <v>0</v>
          </cell>
          <cell r="F42">
            <v>0</v>
          </cell>
          <cell r="G42">
            <v>2835729.36</v>
          </cell>
        </row>
        <row r="43">
          <cell r="C43" t="str">
            <v>22000000TO</v>
          </cell>
          <cell r="D43" t="str">
            <v>Deferred Income - Accr Inv Inc</v>
          </cell>
          <cell r="E43">
            <v>0</v>
          </cell>
          <cell r="F43">
            <v>0</v>
          </cell>
          <cell r="G43">
            <v>852793.26</v>
          </cell>
        </row>
        <row r="44">
          <cell r="C44" t="str">
            <v>23000200TO</v>
          </cell>
          <cell r="D44" t="str">
            <v>Deferred Pledge Income</v>
          </cell>
          <cell r="E44">
            <v>0</v>
          </cell>
          <cell r="F44">
            <v>0</v>
          </cell>
          <cell r="G44">
            <v>3200</v>
          </cell>
        </row>
        <row r="45">
          <cell r="C45" t="str">
            <v>23000201TO</v>
          </cell>
          <cell r="D45" t="str">
            <v>Deferred Pledge Income</v>
          </cell>
          <cell r="E45">
            <v>0</v>
          </cell>
          <cell r="F45">
            <v>0</v>
          </cell>
          <cell r="G45">
            <v>300000</v>
          </cell>
        </row>
        <row r="46">
          <cell r="C46" t="str">
            <v>23000203TO</v>
          </cell>
          <cell r="D46" t="str">
            <v>Deferred Pledge Income</v>
          </cell>
          <cell r="E46">
            <v>0</v>
          </cell>
          <cell r="F46">
            <v>0</v>
          </cell>
          <cell r="G46">
            <v>28570</v>
          </cell>
        </row>
        <row r="47">
          <cell r="C47" t="str">
            <v>23000205TO</v>
          </cell>
          <cell r="D47" t="str">
            <v>Deferred Pledge Income</v>
          </cell>
          <cell r="E47">
            <v>0</v>
          </cell>
          <cell r="F47">
            <v>0</v>
          </cell>
          <cell r="G47">
            <v>28571.4</v>
          </cell>
        </row>
        <row r="48">
          <cell r="C48" t="str">
            <v>23000206TO</v>
          </cell>
          <cell r="D48" t="str">
            <v>Deferred Pledge Income</v>
          </cell>
          <cell r="E48">
            <v>0</v>
          </cell>
          <cell r="F48">
            <v>0</v>
          </cell>
          <cell r="G48">
            <v>5000</v>
          </cell>
        </row>
        <row r="49">
          <cell r="C49" t="str">
            <v>23000209TO</v>
          </cell>
          <cell r="D49" t="str">
            <v>Deferred Pledge Income</v>
          </cell>
          <cell r="E49">
            <v>0</v>
          </cell>
          <cell r="F49">
            <v>0</v>
          </cell>
          <cell r="G49">
            <v>142855</v>
          </cell>
        </row>
        <row r="50">
          <cell r="C50" t="str">
            <v>23000210TO</v>
          </cell>
          <cell r="D50" t="str">
            <v>Deferred Pledge Income</v>
          </cell>
          <cell r="E50">
            <v>0</v>
          </cell>
          <cell r="F50">
            <v>0</v>
          </cell>
          <cell r="G50">
            <v>10000</v>
          </cell>
        </row>
        <row r="51">
          <cell r="C51" t="str">
            <v>23000234TO</v>
          </cell>
          <cell r="D51" t="str">
            <v>Deferred Pledge Income</v>
          </cell>
          <cell r="E51">
            <v>0</v>
          </cell>
          <cell r="F51">
            <v>0</v>
          </cell>
          <cell r="G51">
            <v>80000</v>
          </cell>
        </row>
        <row r="52">
          <cell r="C52" t="str">
            <v>23000235TO</v>
          </cell>
          <cell r="D52" t="str">
            <v>Deferred Pledge Income</v>
          </cell>
          <cell r="E52">
            <v>0</v>
          </cell>
          <cell r="F52">
            <v>0</v>
          </cell>
          <cell r="G52">
            <v>597849.14</v>
          </cell>
        </row>
        <row r="53">
          <cell r="C53" t="str">
            <v>23000237TO</v>
          </cell>
          <cell r="D53" t="str">
            <v>Deferred Pledge Income</v>
          </cell>
          <cell r="E53">
            <v>0</v>
          </cell>
          <cell r="F53">
            <v>0</v>
          </cell>
          <cell r="G53">
            <v>200043.36</v>
          </cell>
        </row>
        <row r="54">
          <cell r="C54" t="str">
            <v>2910F000PE</v>
          </cell>
          <cell r="D54" t="str">
            <v>Dfd Inc. Contra - Unrealized G</v>
          </cell>
          <cell r="E54">
            <v>0</v>
          </cell>
          <cell r="F54">
            <v>0</v>
          </cell>
          <cell r="G54">
            <v>-2835729.49</v>
          </cell>
        </row>
        <row r="55">
          <cell r="C55" t="str">
            <v>2920F000TE</v>
          </cell>
          <cell r="D55" t="str">
            <v>Dfd Inc. Contra - Accr Inv Inc</v>
          </cell>
          <cell r="E55">
            <v>0</v>
          </cell>
          <cell r="F55">
            <v>0</v>
          </cell>
          <cell r="G55">
            <v>-852793.26</v>
          </cell>
        </row>
        <row r="56">
          <cell r="C56" t="str">
            <v>2930F000TO</v>
          </cell>
          <cell r="D56" t="str">
            <v>Dfd Inc. Contra - Pledge Inc</v>
          </cell>
          <cell r="E56">
            <v>0</v>
          </cell>
          <cell r="F56">
            <v>0</v>
          </cell>
          <cell r="G56">
            <v>-1396088.9</v>
          </cell>
        </row>
        <row r="57">
          <cell r="C57" t="str">
            <v>30000000TO</v>
          </cell>
          <cell r="D57" t="str">
            <v>Fund Balances - Unrestricted</v>
          </cell>
          <cell r="E57">
            <v>0</v>
          </cell>
          <cell r="F57">
            <v>0</v>
          </cell>
          <cell r="G57">
            <v>-2706618.29</v>
          </cell>
        </row>
        <row r="58">
          <cell r="C58" t="str">
            <v>30000000UG</v>
          </cell>
          <cell r="D58" t="str">
            <v>Fund Balances - Unrestricted</v>
          </cell>
          <cell r="E58">
            <v>0</v>
          </cell>
          <cell r="F58">
            <v>0</v>
          </cell>
          <cell r="G58">
            <v>1506882.19</v>
          </cell>
        </row>
        <row r="59">
          <cell r="C59" t="str">
            <v>30000101PE</v>
          </cell>
          <cell r="D59" t="str">
            <v>Fund Balances - Unrestricted</v>
          </cell>
          <cell r="E59">
            <v>0</v>
          </cell>
          <cell r="F59">
            <v>0</v>
          </cell>
          <cell r="G59">
            <v>0</v>
          </cell>
        </row>
        <row r="60">
          <cell r="C60" t="str">
            <v>30000101TE</v>
          </cell>
          <cell r="D60" t="str">
            <v>Fund Balances - Unrestricted</v>
          </cell>
          <cell r="E60">
            <v>0</v>
          </cell>
          <cell r="F60">
            <v>0</v>
          </cell>
          <cell r="G60">
            <v>-12298.7</v>
          </cell>
        </row>
        <row r="61">
          <cell r="C61" t="str">
            <v>30000102TE</v>
          </cell>
          <cell r="D61" t="str">
            <v>Fund Balances - Unrestricted</v>
          </cell>
          <cell r="E61">
            <v>0</v>
          </cell>
          <cell r="F61">
            <v>0</v>
          </cell>
          <cell r="G61">
            <v>79000</v>
          </cell>
        </row>
        <row r="62">
          <cell r="C62" t="str">
            <v>30000103PE</v>
          </cell>
          <cell r="D62" t="str">
            <v>Fund Balances - Unrestricted</v>
          </cell>
          <cell r="E62">
            <v>0</v>
          </cell>
          <cell r="F62">
            <v>0</v>
          </cell>
          <cell r="G62">
            <v>18031.89</v>
          </cell>
        </row>
        <row r="63">
          <cell r="C63" t="str">
            <v>30000103TO</v>
          </cell>
          <cell r="D63" t="str">
            <v>Fund Balances - Unrestricted</v>
          </cell>
          <cell r="E63">
            <v>0</v>
          </cell>
          <cell r="F63">
            <v>0</v>
          </cell>
          <cell r="G63">
            <v>-222300.26</v>
          </cell>
        </row>
        <row r="64">
          <cell r="C64" t="str">
            <v>30000105TO</v>
          </cell>
          <cell r="D64" t="str">
            <v>Fund Balances - Unrestricted</v>
          </cell>
          <cell r="E64">
            <v>0</v>
          </cell>
          <cell r="F64">
            <v>0</v>
          </cell>
          <cell r="G64">
            <v>0</v>
          </cell>
        </row>
        <row r="65">
          <cell r="C65" t="str">
            <v>30000110TO</v>
          </cell>
          <cell r="D65" t="str">
            <v>Fund Balances - Unrestricted</v>
          </cell>
          <cell r="E65">
            <v>0</v>
          </cell>
          <cell r="F65">
            <v>0</v>
          </cell>
          <cell r="G65">
            <v>5250</v>
          </cell>
        </row>
        <row r="66">
          <cell r="C66" t="str">
            <v>30000112PE</v>
          </cell>
          <cell r="D66" t="str">
            <v>Fund Balances - Unrestricted</v>
          </cell>
          <cell r="E66">
            <v>0</v>
          </cell>
          <cell r="F66">
            <v>0</v>
          </cell>
          <cell r="G66">
            <v>500000</v>
          </cell>
        </row>
        <row r="67">
          <cell r="C67" t="str">
            <v>30000112TO</v>
          </cell>
          <cell r="D67" t="str">
            <v>Fund Balances - Unrestricted</v>
          </cell>
          <cell r="E67">
            <v>0</v>
          </cell>
          <cell r="F67">
            <v>0</v>
          </cell>
          <cell r="G67">
            <v>100</v>
          </cell>
        </row>
        <row r="68">
          <cell r="C68" t="str">
            <v>30000200TO</v>
          </cell>
          <cell r="D68" t="str">
            <v>Fund Balances - Unrestricted</v>
          </cell>
          <cell r="E68">
            <v>0</v>
          </cell>
          <cell r="F68">
            <v>0</v>
          </cell>
          <cell r="G68">
            <v>-19950</v>
          </cell>
        </row>
        <row r="69">
          <cell r="C69" t="str">
            <v>30000201TA</v>
          </cell>
          <cell r="D69" t="str">
            <v>Fund Balances - Unrestricted</v>
          </cell>
          <cell r="E69">
            <v>0</v>
          </cell>
          <cell r="F69">
            <v>0</v>
          </cell>
          <cell r="G69">
            <v>50000</v>
          </cell>
        </row>
        <row r="70">
          <cell r="C70" t="str">
            <v>30000201TB</v>
          </cell>
          <cell r="D70" t="str">
            <v>Fund Balances - Unrestricted</v>
          </cell>
          <cell r="E70">
            <v>0</v>
          </cell>
          <cell r="F70">
            <v>0</v>
          </cell>
          <cell r="G70">
            <v>50000</v>
          </cell>
        </row>
        <row r="71">
          <cell r="C71" t="str">
            <v>30000201TC</v>
          </cell>
          <cell r="D71" t="str">
            <v>Fund Balances - Unrestricted</v>
          </cell>
          <cell r="E71">
            <v>0</v>
          </cell>
          <cell r="F71">
            <v>0</v>
          </cell>
          <cell r="G71">
            <v>37500</v>
          </cell>
        </row>
        <row r="72">
          <cell r="C72" t="str">
            <v>30000201TD</v>
          </cell>
          <cell r="D72" t="str">
            <v>Fund Balances - Unrestricted</v>
          </cell>
          <cell r="E72">
            <v>0</v>
          </cell>
          <cell r="F72">
            <v>0</v>
          </cell>
          <cell r="G72">
            <v>-37500</v>
          </cell>
        </row>
        <row r="73">
          <cell r="C73" t="str">
            <v>30000201TN</v>
          </cell>
          <cell r="D73" t="str">
            <v>Fund Balances - Unrestricted</v>
          </cell>
          <cell r="E73">
            <v>0</v>
          </cell>
          <cell r="F73">
            <v>0</v>
          </cell>
          <cell r="G73">
            <v>0</v>
          </cell>
        </row>
        <row r="74">
          <cell r="C74" t="str">
            <v>30000201TO</v>
          </cell>
          <cell r="D74" t="str">
            <v>Fund Balances - Unrestricted</v>
          </cell>
          <cell r="E74">
            <v>0</v>
          </cell>
          <cell r="F74">
            <v>0</v>
          </cell>
          <cell r="G74">
            <v>-390000</v>
          </cell>
        </row>
        <row r="75">
          <cell r="C75" t="str">
            <v>30000201TP</v>
          </cell>
          <cell r="D75" t="str">
            <v>Fund Balances - Unrestricted</v>
          </cell>
          <cell r="E75">
            <v>0</v>
          </cell>
          <cell r="F75">
            <v>0</v>
          </cell>
          <cell r="G75">
            <v>0</v>
          </cell>
        </row>
        <row r="76">
          <cell r="C76" t="str">
            <v>30000201TQ</v>
          </cell>
          <cell r="D76" t="str">
            <v>Fund Balances - Unrestricted</v>
          </cell>
          <cell r="E76">
            <v>0</v>
          </cell>
          <cell r="F76">
            <v>0</v>
          </cell>
          <cell r="G76">
            <v>50000</v>
          </cell>
        </row>
        <row r="77">
          <cell r="C77" t="str">
            <v>30000201TS</v>
          </cell>
          <cell r="D77" t="str">
            <v>Fund Balances - Unrestricted</v>
          </cell>
          <cell r="E77">
            <v>0</v>
          </cell>
          <cell r="F77">
            <v>0</v>
          </cell>
          <cell r="G77">
            <v>50000</v>
          </cell>
        </row>
        <row r="78">
          <cell r="C78" t="str">
            <v>30000201TT</v>
          </cell>
          <cell r="D78" t="str">
            <v>Fund Balances - Unrestricted</v>
          </cell>
          <cell r="E78">
            <v>0</v>
          </cell>
          <cell r="F78">
            <v>0</v>
          </cell>
          <cell r="G78">
            <v>100000</v>
          </cell>
        </row>
        <row r="79">
          <cell r="C79" t="str">
            <v>30000201TU</v>
          </cell>
          <cell r="D79" t="str">
            <v>Fund Balances - Unrestricted</v>
          </cell>
          <cell r="E79">
            <v>0</v>
          </cell>
          <cell r="F79">
            <v>0</v>
          </cell>
          <cell r="G79">
            <v>100000</v>
          </cell>
        </row>
        <row r="80">
          <cell r="C80" t="str">
            <v>30000201TV</v>
          </cell>
          <cell r="D80" t="str">
            <v>Fund Balances - Unrestricted</v>
          </cell>
          <cell r="E80">
            <v>0</v>
          </cell>
          <cell r="F80">
            <v>0</v>
          </cell>
          <cell r="G80">
            <v>0</v>
          </cell>
        </row>
        <row r="81">
          <cell r="C81" t="str">
            <v>30000202TO</v>
          </cell>
          <cell r="D81" t="str">
            <v>Fund Balances - Unrestricted</v>
          </cell>
          <cell r="E81">
            <v>0</v>
          </cell>
          <cell r="F81">
            <v>0</v>
          </cell>
          <cell r="G81">
            <v>-30000</v>
          </cell>
        </row>
        <row r="82">
          <cell r="C82" t="str">
            <v>30000203TO</v>
          </cell>
          <cell r="D82" t="str">
            <v>Fund Balances - Unrestricted</v>
          </cell>
          <cell r="E82">
            <v>0</v>
          </cell>
          <cell r="F82">
            <v>0</v>
          </cell>
          <cell r="G82">
            <v>90000</v>
          </cell>
        </row>
        <row r="83">
          <cell r="C83" t="str">
            <v>30000205TO</v>
          </cell>
          <cell r="D83" t="str">
            <v>Fund Balances - Unrestricted</v>
          </cell>
          <cell r="E83">
            <v>0</v>
          </cell>
          <cell r="F83">
            <v>0</v>
          </cell>
          <cell r="G83">
            <v>-585699.68000000005</v>
          </cell>
        </row>
        <row r="84">
          <cell r="C84" t="str">
            <v>30000206TO</v>
          </cell>
          <cell r="D84" t="str">
            <v>Fund Balances - Unrestricted</v>
          </cell>
          <cell r="E84">
            <v>0</v>
          </cell>
          <cell r="F84">
            <v>0</v>
          </cell>
          <cell r="G84">
            <v>-5000</v>
          </cell>
        </row>
        <row r="85">
          <cell r="C85" t="str">
            <v>30000209TO</v>
          </cell>
          <cell r="D85" t="str">
            <v>Fund Balances - Unrestricted</v>
          </cell>
          <cell r="E85">
            <v>0</v>
          </cell>
          <cell r="F85">
            <v>0</v>
          </cell>
          <cell r="G85">
            <v>-35535</v>
          </cell>
        </row>
        <row r="86">
          <cell r="C86" t="str">
            <v>30000210TO</v>
          </cell>
          <cell r="D86" t="str">
            <v>Fund Balances - Unrestricted</v>
          </cell>
          <cell r="E86">
            <v>0</v>
          </cell>
          <cell r="F86">
            <v>0</v>
          </cell>
          <cell r="G86">
            <v>-5000</v>
          </cell>
        </row>
        <row r="87">
          <cell r="C87" t="str">
            <v>30000212TO</v>
          </cell>
          <cell r="D87" t="str">
            <v>Fund Balances - Unrestricted</v>
          </cell>
          <cell r="E87">
            <v>0</v>
          </cell>
          <cell r="F87">
            <v>0</v>
          </cell>
          <cell r="G87">
            <v>32400</v>
          </cell>
        </row>
        <row r="88">
          <cell r="C88" t="str">
            <v>30000213TO</v>
          </cell>
          <cell r="D88" t="str">
            <v>Fund Balances - Unrestricted</v>
          </cell>
          <cell r="E88">
            <v>0</v>
          </cell>
          <cell r="F88">
            <v>0</v>
          </cell>
          <cell r="G88">
            <v>25000</v>
          </cell>
        </row>
        <row r="89">
          <cell r="C89" t="str">
            <v>30000214TO</v>
          </cell>
          <cell r="D89" t="str">
            <v>Fund Balances - Unrestricted</v>
          </cell>
          <cell r="E89">
            <v>0</v>
          </cell>
          <cell r="F89">
            <v>0</v>
          </cell>
          <cell r="G89">
            <v>-43929</v>
          </cell>
        </row>
        <row r="90">
          <cell r="C90" t="str">
            <v>30000215TO</v>
          </cell>
          <cell r="D90" t="str">
            <v>Fund Balances - Unrestricted</v>
          </cell>
          <cell r="E90">
            <v>0</v>
          </cell>
          <cell r="F90">
            <v>0</v>
          </cell>
          <cell r="G90">
            <v>399499</v>
          </cell>
        </row>
        <row r="91">
          <cell r="C91" t="str">
            <v>30000216TO</v>
          </cell>
          <cell r="D91" t="str">
            <v>Fund Balances - Unrestricted</v>
          </cell>
          <cell r="E91">
            <v>0</v>
          </cell>
          <cell r="F91">
            <v>0</v>
          </cell>
          <cell r="G91">
            <v>400</v>
          </cell>
        </row>
        <row r="92">
          <cell r="C92" t="str">
            <v>30000217TO</v>
          </cell>
          <cell r="D92" t="str">
            <v>Fund Balances - Unrestricted</v>
          </cell>
          <cell r="E92">
            <v>0</v>
          </cell>
          <cell r="F92">
            <v>0</v>
          </cell>
          <cell r="G92">
            <v>228699.81</v>
          </cell>
        </row>
        <row r="93">
          <cell r="C93" t="str">
            <v>30000218TO</v>
          </cell>
          <cell r="D93" t="str">
            <v>Fund Balances - Unrestricted</v>
          </cell>
          <cell r="E93">
            <v>0</v>
          </cell>
          <cell r="F93">
            <v>0</v>
          </cell>
          <cell r="G93">
            <v>-750074.97</v>
          </cell>
        </row>
        <row r="94">
          <cell r="C94" t="str">
            <v>30000220TO</v>
          </cell>
          <cell r="D94" t="str">
            <v>Fund Balances - Unrestricted</v>
          </cell>
          <cell r="E94">
            <v>0</v>
          </cell>
          <cell r="F94">
            <v>0</v>
          </cell>
          <cell r="G94">
            <v>-26386.09</v>
          </cell>
        </row>
        <row r="95">
          <cell r="C95" t="str">
            <v>30000220UG</v>
          </cell>
          <cell r="D95" t="str">
            <v>Fund Balances - Unrestricted</v>
          </cell>
          <cell r="E95">
            <v>0</v>
          </cell>
          <cell r="F95">
            <v>0</v>
          </cell>
          <cell r="G95">
            <v>-588500</v>
          </cell>
        </row>
        <row r="96">
          <cell r="C96" t="str">
            <v>30000221TO</v>
          </cell>
          <cell r="D96" t="str">
            <v>Fund Balances - Unrestricted</v>
          </cell>
          <cell r="E96">
            <v>0</v>
          </cell>
          <cell r="F96">
            <v>0</v>
          </cell>
          <cell r="G96">
            <v>-14900</v>
          </cell>
        </row>
        <row r="97">
          <cell r="C97" t="str">
            <v>30000221UG</v>
          </cell>
          <cell r="D97" t="str">
            <v>Fund Balances - Unrestricted</v>
          </cell>
          <cell r="E97">
            <v>0</v>
          </cell>
          <cell r="F97">
            <v>0</v>
          </cell>
          <cell r="G97">
            <v>-356080</v>
          </cell>
        </row>
        <row r="98">
          <cell r="C98" t="str">
            <v>30000222UG</v>
          </cell>
          <cell r="D98" t="str">
            <v>Fund Balances - Unrestricted</v>
          </cell>
          <cell r="E98">
            <v>0</v>
          </cell>
          <cell r="F98">
            <v>0</v>
          </cell>
          <cell r="G98">
            <v>-504800</v>
          </cell>
        </row>
        <row r="99">
          <cell r="C99" t="str">
            <v>30000223UG</v>
          </cell>
          <cell r="D99" t="str">
            <v>Fund Balances - Unrestricted</v>
          </cell>
          <cell r="E99">
            <v>0</v>
          </cell>
          <cell r="F99">
            <v>0</v>
          </cell>
          <cell r="G99">
            <v>-35715</v>
          </cell>
        </row>
        <row r="100">
          <cell r="C100" t="str">
            <v>30000225TO</v>
          </cell>
          <cell r="D100" t="str">
            <v>Fund Balances - Unrestricted</v>
          </cell>
          <cell r="E100">
            <v>0</v>
          </cell>
          <cell r="F100">
            <v>0</v>
          </cell>
          <cell r="G100">
            <v>-417529.26</v>
          </cell>
        </row>
        <row r="101">
          <cell r="C101" t="str">
            <v>30000226TO</v>
          </cell>
          <cell r="D101" t="str">
            <v>Fund Balances - Unrestricted</v>
          </cell>
          <cell r="E101">
            <v>0</v>
          </cell>
          <cell r="F101">
            <v>0</v>
          </cell>
          <cell r="G101">
            <v>4000</v>
          </cell>
        </row>
        <row r="102">
          <cell r="C102" t="str">
            <v>30000227TO</v>
          </cell>
          <cell r="D102" t="str">
            <v>Fund Balances - Unrestricted</v>
          </cell>
          <cell r="E102">
            <v>0</v>
          </cell>
          <cell r="F102">
            <v>0</v>
          </cell>
          <cell r="G102">
            <v>-240538.57</v>
          </cell>
        </row>
        <row r="103">
          <cell r="C103" t="str">
            <v>30000228TO</v>
          </cell>
          <cell r="D103" t="str">
            <v>Fund Balances - Unrestricted</v>
          </cell>
          <cell r="E103">
            <v>0</v>
          </cell>
          <cell r="F103">
            <v>0</v>
          </cell>
          <cell r="G103">
            <v>285</v>
          </cell>
        </row>
        <row r="104">
          <cell r="C104" t="str">
            <v>30000229TO</v>
          </cell>
          <cell r="D104" t="str">
            <v>Fund Balances - Unrestricted</v>
          </cell>
          <cell r="E104">
            <v>0</v>
          </cell>
          <cell r="F104">
            <v>0</v>
          </cell>
          <cell r="G104">
            <v>20000</v>
          </cell>
        </row>
        <row r="105">
          <cell r="C105" t="str">
            <v>30000230TO</v>
          </cell>
          <cell r="D105" t="str">
            <v>Fund Balances - Unrestricted</v>
          </cell>
          <cell r="E105">
            <v>0</v>
          </cell>
          <cell r="F105">
            <v>0</v>
          </cell>
          <cell r="G105">
            <v>16467.79</v>
          </cell>
        </row>
        <row r="106">
          <cell r="C106" t="str">
            <v>30000232TO</v>
          </cell>
          <cell r="D106" t="str">
            <v>Fund Balances - Unrestricted</v>
          </cell>
          <cell r="E106">
            <v>0</v>
          </cell>
          <cell r="F106">
            <v>0</v>
          </cell>
          <cell r="G106">
            <v>-20000</v>
          </cell>
        </row>
        <row r="107">
          <cell r="C107" t="str">
            <v>30000234TO</v>
          </cell>
          <cell r="D107" t="str">
            <v>Fund Balances - Unrestricted</v>
          </cell>
          <cell r="E107">
            <v>0</v>
          </cell>
          <cell r="F107">
            <v>0</v>
          </cell>
          <cell r="G107">
            <v>-40000</v>
          </cell>
        </row>
        <row r="108">
          <cell r="C108" t="str">
            <v>30000235TO</v>
          </cell>
          <cell r="D108" t="str">
            <v>Fund Balances - Unrestricted</v>
          </cell>
          <cell r="E108">
            <v>0</v>
          </cell>
          <cell r="F108">
            <v>0</v>
          </cell>
          <cell r="G108">
            <v>-648289.99</v>
          </cell>
        </row>
        <row r="109">
          <cell r="C109" t="str">
            <v>30000237TO</v>
          </cell>
          <cell r="D109" t="str">
            <v>Fund Balances - Unrestricted</v>
          </cell>
          <cell r="E109">
            <v>0</v>
          </cell>
          <cell r="F109">
            <v>0</v>
          </cell>
          <cell r="G109">
            <v>-100000</v>
          </cell>
        </row>
        <row r="110">
          <cell r="C110" t="str">
            <v>30000238TO</v>
          </cell>
          <cell r="D110" t="str">
            <v>Fund Balances - Unrestricted</v>
          </cell>
          <cell r="E110">
            <v>0</v>
          </cell>
          <cell r="F110">
            <v>0</v>
          </cell>
          <cell r="G110">
            <v>100100</v>
          </cell>
        </row>
        <row r="111">
          <cell r="C111" t="str">
            <v>30000239TO</v>
          </cell>
          <cell r="D111" t="str">
            <v>Fund Balances - Unrestricted</v>
          </cell>
          <cell r="E111">
            <v>0</v>
          </cell>
          <cell r="F111">
            <v>0</v>
          </cell>
          <cell r="G111">
            <v>133883</v>
          </cell>
        </row>
        <row r="112">
          <cell r="C112" t="str">
            <v>30000240TO</v>
          </cell>
          <cell r="D112" t="str">
            <v>Fund Balances - Unrestricted</v>
          </cell>
          <cell r="E112">
            <v>0</v>
          </cell>
          <cell r="F112">
            <v>0</v>
          </cell>
          <cell r="G112">
            <v>5</v>
          </cell>
        </row>
        <row r="113">
          <cell r="C113" t="str">
            <v>30000241TO</v>
          </cell>
          <cell r="D113" t="str">
            <v>Fund Balances - Unrestricted</v>
          </cell>
          <cell r="E113">
            <v>0</v>
          </cell>
          <cell r="F113">
            <v>0</v>
          </cell>
          <cell r="G113">
            <v>-100000</v>
          </cell>
        </row>
        <row r="114">
          <cell r="C114" t="str">
            <v>30000241UG</v>
          </cell>
          <cell r="D114" t="str">
            <v>Fund Balances - Unrestricted</v>
          </cell>
          <cell r="E114">
            <v>0</v>
          </cell>
          <cell r="F114">
            <v>0</v>
          </cell>
          <cell r="G114">
            <v>-300000</v>
          </cell>
        </row>
        <row r="115">
          <cell r="C115" t="str">
            <v>30000242TO</v>
          </cell>
          <cell r="D115" t="str">
            <v>Fund Balances - Unrestricted</v>
          </cell>
          <cell r="E115">
            <v>0</v>
          </cell>
          <cell r="F115">
            <v>0</v>
          </cell>
          <cell r="G115">
            <v>-101912.68</v>
          </cell>
        </row>
        <row r="116">
          <cell r="C116" t="str">
            <v>30000243TO</v>
          </cell>
          <cell r="D116" t="str">
            <v>Fund Balances - Unrestricted</v>
          </cell>
          <cell r="E116">
            <v>0</v>
          </cell>
          <cell r="F116">
            <v>0</v>
          </cell>
          <cell r="G116">
            <v>-99991.360000000001</v>
          </cell>
        </row>
        <row r="117">
          <cell r="C117" t="str">
            <v>30000244TO</v>
          </cell>
          <cell r="D117" t="str">
            <v>Fund Balances - Unrestricted</v>
          </cell>
          <cell r="E117">
            <v>0</v>
          </cell>
          <cell r="F117">
            <v>0</v>
          </cell>
          <cell r="G117">
            <v>40634.370000000003</v>
          </cell>
        </row>
        <row r="118">
          <cell r="C118" t="str">
            <v>30000245TO</v>
          </cell>
          <cell r="D118" t="str">
            <v>Fund Balances - Unrestricted</v>
          </cell>
          <cell r="E118">
            <v>0</v>
          </cell>
          <cell r="F118">
            <v>0</v>
          </cell>
          <cell r="G118">
            <v>-100000</v>
          </cell>
        </row>
        <row r="119">
          <cell r="C119" t="str">
            <v>30000245UG</v>
          </cell>
          <cell r="D119" t="str">
            <v>Fund Balances - Unrestricted</v>
          </cell>
          <cell r="E119">
            <v>0</v>
          </cell>
          <cell r="F119">
            <v>0</v>
          </cell>
          <cell r="G119">
            <v>-600000</v>
          </cell>
        </row>
        <row r="120">
          <cell r="C120" t="str">
            <v>30000246TO</v>
          </cell>
          <cell r="D120" t="str">
            <v>Fund Balances - Unrestricted</v>
          </cell>
          <cell r="E120">
            <v>0</v>
          </cell>
          <cell r="F120">
            <v>0</v>
          </cell>
          <cell r="G120">
            <v>-140000</v>
          </cell>
        </row>
        <row r="121">
          <cell r="C121" t="str">
            <v>30000246UG</v>
          </cell>
          <cell r="D121" t="str">
            <v>Fund Balances - Unrestricted</v>
          </cell>
          <cell r="E121">
            <v>0</v>
          </cell>
          <cell r="F121">
            <v>0</v>
          </cell>
          <cell r="G121">
            <v>-400000</v>
          </cell>
        </row>
        <row r="122">
          <cell r="C122" t="str">
            <v>30000247TO</v>
          </cell>
          <cell r="D122" t="str">
            <v>Fund Balances - Unrestricted</v>
          </cell>
          <cell r="E122">
            <v>0</v>
          </cell>
          <cell r="F122">
            <v>0</v>
          </cell>
          <cell r="G122">
            <v>-22422</v>
          </cell>
        </row>
        <row r="123">
          <cell r="C123" t="str">
            <v>30000250TO</v>
          </cell>
          <cell r="D123" t="str">
            <v>Fund Balances - Unrestricted</v>
          </cell>
          <cell r="E123">
            <v>0</v>
          </cell>
          <cell r="F123">
            <v>0</v>
          </cell>
          <cell r="G123">
            <v>74000</v>
          </cell>
        </row>
        <row r="124">
          <cell r="C124" t="str">
            <v>30000251TO</v>
          </cell>
          <cell r="D124" t="str">
            <v>Fund Balances - Unrestricted</v>
          </cell>
          <cell r="E124">
            <v>0</v>
          </cell>
          <cell r="F124">
            <v>0</v>
          </cell>
          <cell r="G124">
            <v>236700.89</v>
          </cell>
        </row>
        <row r="125">
          <cell r="C125" t="str">
            <v>30000252TO</v>
          </cell>
          <cell r="D125" t="str">
            <v>Fund Balances - Unrestricted</v>
          </cell>
          <cell r="E125">
            <v>0</v>
          </cell>
          <cell r="F125">
            <v>0</v>
          </cell>
          <cell r="G125">
            <v>243.5</v>
          </cell>
        </row>
        <row r="126">
          <cell r="C126" t="str">
            <v>30000260TO</v>
          </cell>
          <cell r="D126" t="str">
            <v>Fund Balances - Unrestricted</v>
          </cell>
          <cell r="E126">
            <v>0</v>
          </cell>
          <cell r="F126">
            <v>0</v>
          </cell>
          <cell r="G126">
            <v>35000</v>
          </cell>
        </row>
        <row r="127">
          <cell r="C127" t="str">
            <v>30000300TO</v>
          </cell>
          <cell r="D127" t="str">
            <v>Fund Balances - Unrestricted</v>
          </cell>
          <cell r="E127">
            <v>0</v>
          </cell>
          <cell r="F127">
            <v>0</v>
          </cell>
          <cell r="G127">
            <v>-150000</v>
          </cell>
        </row>
        <row r="128">
          <cell r="C128" t="str">
            <v>30000301UG</v>
          </cell>
          <cell r="D128" t="str">
            <v>Fund Balances - Unrestricted</v>
          </cell>
          <cell r="E128">
            <v>0</v>
          </cell>
          <cell r="F128">
            <v>0</v>
          </cell>
          <cell r="G128">
            <v>-75000</v>
          </cell>
        </row>
        <row r="129">
          <cell r="C129" t="str">
            <v>30000302UG</v>
          </cell>
          <cell r="D129" t="str">
            <v>Fund Balances - Unrestricted</v>
          </cell>
          <cell r="E129">
            <v>0</v>
          </cell>
          <cell r="F129">
            <v>0</v>
          </cell>
          <cell r="G129">
            <v>-73000</v>
          </cell>
        </row>
        <row r="130">
          <cell r="C130" t="str">
            <v>30000304TO</v>
          </cell>
          <cell r="D130" t="str">
            <v>Fund Balances - Unrestricted</v>
          </cell>
          <cell r="E130">
            <v>0</v>
          </cell>
          <cell r="F130">
            <v>0</v>
          </cell>
          <cell r="G130">
            <v>-45000</v>
          </cell>
        </row>
        <row r="131">
          <cell r="C131" t="str">
            <v>30000305TO</v>
          </cell>
          <cell r="D131" t="str">
            <v>Fund Balances - Unrestricted</v>
          </cell>
          <cell r="E131">
            <v>0</v>
          </cell>
          <cell r="F131">
            <v>0</v>
          </cell>
          <cell r="G131">
            <v>50000</v>
          </cell>
        </row>
        <row r="132">
          <cell r="C132" t="str">
            <v>30000401TO</v>
          </cell>
          <cell r="D132" t="str">
            <v>Fund Balances - Unrestricted</v>
          </cell>
          <cell r="E132">
            <v>0</v>
          </cell>
          <cell r="F132">
            <v>0</v>
          </cell>
          <cell r="G132">
            <v>10000</v>
          </cell>
        </row>
        <row r="133">
          <cell r="C133" t="str">
            <v>30000402TO</v>
          </cell>
          <cell r="D133" t="str">
            <v>Fund Balances - Unrestricted</v>
          </cell>
          <cell r="E133">
            <v>0</v>
          </cell>
          <cell r="F133">
            <v>0</v>
          </cell>
          <cell r="G133">
            <v>15187.5</v>
          </cell>
        </row>
        <row r="134">
          <cell r="C134" t="str">
            <v>30000405TO</v>
          </cell>
          <cell r="D134" t="str">
            <v>Fund Balances - Unrestricted</v>
          </cell>
          <cell r="E134">
            <v>0</v>
          </cell>
          <cell r="F134">
            <v>0</v>
          </cell>
          <cell r="G134">
            <v>599413.87</v>
          </cell>
        </row>
        <row r="135">
          <cell r="C135" t="str">
            <v>30000500TO</v>
          </cell>
          <cell r="D135" t="str">
            <v>Fund Balances - Unrestricted</v>
          </cell>
          <cell r="E135">
            <v>0</v>
          </cell>
          <cell r="F135">
            <v>0</v>
          </cell>
          <cell r="G135">
            <v>59785</v>
          </cell>
        </row>
        <row r="136">
          <cell r="C136" t="str">
            <v>30000501TO</v>
          </cell>
          <cell r="D136" t="str">
            <v>Fund Balances - Unrestricted</v>
          </cell>
          <cell r="E136">
            <v>0</v>
          </cell>
          <cell r="F136">
            <v>0</v>
          </cell>
          <cell r="G136">
            <v>351710.01</v>
          </cell>
        </row>
        <row r="137">
          <cell r="C137" t="str">
            <v>30000502TO</v>
          </cell>
          <cell r="D137" t="str">
            <v>Fund Balances - Unrestricted</v>
          </cell>
          <cell r="E137">
            <v>0</v>
          </cell>
          <cell r="F137">
            <v>0</v>
          </cell>
          <cell r="G137">
            <v>189945.4</v>
          </cell>
        </row>
        <row r="138">
          <cell r="C138" t="str">
            <v>30000503TO</v>
          </cell>
          <cell r="D138" t="str">
            <v>Fund Balances - Unrestricted</v>
          </cell>
          <cell r="E138">
            <v>0</v>
          </cell>
          <cell r="F138">
            <v>0</v>
          </cell>
          <cell r="G138">
            <v>250200</v>
          </cell>
        </row>
        <row r="139">
          <cell r="C139" t="str">
            <v>30000600TO</v>
          </cell>
          <cell r="D139" t="str">
            <v>Fund Balances - Unrestricted</v>
          </cell>
          <cell r="E139">
            <v>0</v>
          </cell>
          <cell r="F139">
            <v>0</v>
          </cell>
          <cell r="G139">
            <v>14220</v>
          </cell>
        </row>
        <row r="140">
          <cell r="C140" t="str">
            <v>30000600UG</v>
          </cell>
          <cell r="D140" t="str">
            <v>Fund Balances - Unrestricted</v>
          </cell>
          <cell r="E140">
            <v>0</v>
          </cell>
          <cell r="F140">
            <v>0</v>
          </cell>
          <cell r="G140">
            <v>370208.69</v>
          </cell>
        </row>
        <row r="141">
          <cell r="C141" t="str">
            <v>30000601TO</v>
          </cell>
          <cell r="D141" t="str">
            <v>Fund Balances - Unrestricted</v>
          </cell>
          <cell r="E141">
            <v>0</v>
          </cell>
          <cell r="F141">
            <v>0</v>
          </cell>
          <cell r="G141">
            <v>38558.15</v>
          </cell>
        </row>
        <row r="142">
          <cell r="C142" t="str">
            <v>30000601UG</v>
          </cell>
          <cell r="D142" t="str">
            <v>Fund Balances - Unrestricted</v>
          </cell>
          <cell r="E142">
            <v>0</v>
          </cell>
          <cell r="F142">
            <v>0</v>
          </cell>
          <cell r="G142">
            <v>1986673.96</v>
          </cell>
        </row>
        <row r="143">
          <cell r="C143" t="str">
            <v>30000602TO</v>
          </cell>
          <cell r="D143" t="str">
            <v>Fund Balances - Unrestricted</v>
          </cell>
          <cell r="E143">
            <v>0</v>
          </cell>
          <cell r="F143">
            <v>0</v>
          </cell>
          <cell r="G143">
            <v>8281</v>
          </cell>
        </row>
        <row r="144">
          <cell r="C144" t="str">
            <v>30000602UG</v>
          </cell>
          <cell r="D144" t="str">
            <v>Fund Balances - Unrestricted</v>
          </cell>
          <cell r="E144">
            <v>0</v>
          </cell>
          <cell r="F144">
            <v>0</v>
          </cell>
          <cell r="G144">
            <v>439721.65</v>
          </cell>
        </row>
        <row r="145">
          <cell r="C145" t="str">
            <v>30000603UG</v>
          </cell>
          <cell r="D145" t="str">
            <v>Fund Balances - Unrestricted</v>
          </cell>
          <cell r="E145">
            <v>0</v>
          </cell>
          <cell r="F145">
            <v>0</v>
          </cell>
          <cell r="G145">
            <v>-6039.98</v>
          </cell>
        </row>
        <row r="146">
          <cell r="C146" t="str">
            <v>30000604UG</v>
          </cell>
          <cell r="D146" t="str">
            <v>Fund Balances - Unrestricted</v>
          </cell>
          <cell r="E146">
            <v>0</v>
          </cell>
          <cell r="F146">
            <v>0</v>
          </cell>
          <cell r="G146">
            <v>-122257.9</v>
          </cell>
        </row>
        <row r="147">
          <cell r="C147" t="str">
            <v>30000605UG</v>
          </cell>
          <cell r="D147" t="str">
            <v>Fund Balances - Unrestricted</v>
          </cell>
          <cell r="E147">
            <v>0</v>
          </cell>
          <cell r="F147">
            <v>0</v>
          </cell>
          <cell r="G147">
            <v>2068780.32</v>
          </cell>
        </row>
        <row r="148">
          <cell r="C148" t="str">
            <v>30000606UG</v>
          </cell>
          <cell r="D148" t="str">
            <v>Fund Balances - Unrestricted</v>
          </cell>
          <cell r="E148">
            <v>0</v>
          </cell>
          <cell r="F148">
            <v>0</v>
          </cell>
          <cell r="G148">
            <v>-23227.58</v>
          </cell>
        </row>
        <row r="149">
          <cell r="C149" t="str">
            <v>30000607UG</v>
          </cell>
          <cell r="D149" t="str">
            <v>Fund Balances - Unrestricted</v>
          </cell>
          <cell r="E149">
            <v>0</v>
          </cell>
          <cell r="F149">
            <v>0</v>
          </cell>
          <cell r="G149">
            <v>-691.53</v>
          </cell>
        </row>
        <row r="150">
          <cell r="C150" t="str">
            <v>30000609UG</v>
          </cell>
          <cell r="D150" t="str">
            <v>Fund Balances - Unrestricted</v>
          </cell>
          <cell r="E150">
            <v>0</v>
          </cell>
          <cell r="F150">
            <v>0</v>
          </cell>
          <cell r="G150">
            <v>-121310.7</v>
          </cell>
        </row>
        <row r="151">
          <cell r="C151" t="str">
            <v>30000699TO</v>
          </cell>
          <cell r="D151" t="str">
            <v>Fund Balances - Unrestricted</v>
          </cell>
          <cell r="E151">
            <v>0</v>
          </cell>
          <cell r="F151">
            <v>0</v>
          </cell>
          <cell r="G151">
            <v>-1681.25</v>
          </cell>
        </row>
        <row r="152">
          <cell r="C152" t="str">
            <v>30000699UG</v>
          </cell>
          <cell r="D152" t="str">
            <v>Fund Balances - Unrestricted</v>
          </cell>
          <cell r="E152">
            <v>0</v>
          </cell>
          <cell r="F152">
            <v>0</v>
          </cell>
          <cell r="G152">
            <v>2607710.6</v>
          </cell>
        </row>
        <row r="153">
          <cell r="C153" t="str">
            <v>30000701TO</v>
          </cell>
          <cell r="D153" t="str">
            <v>Fund Balances - Unrestricted</v>
          </cell>
          <cell r="E153">
            <v>0</v>
          </cell>
          <cell r="F153">
            <v>0</v>
          </cell>
          <cell r="G153">
            <v>-211757.02</v>
          </cell>
        </row>
        <row r="154">
          <cell r="C154" t="str">
            <v>30000702TO</v>
          </cell>
          <cell r="D154" t="str">
            <v>Fund Balances - Unrestricted</v>
          </cell>
          <cell r="E154">
            <v>0</v>
          </cell>
          <cell r="F154">
            <v>0</v>
          </cell>
          <cell r="G154">
            <v>815286</v>
          </cell>
        </row>
        <row r="155">
          <cell r="C155" t="str">
            <v>30000703TO</v>
          </cell>
          <cell r="D155" t="str">
            <v>Fund Balances - Unrestricted</v>
          </cell>
          <cell r="E155">
            <v>0</v>
          </cell>
          <cell r="F155">
            <v>0</v>
          </cell>
          <cell r="G155">
            <v>-75</v>
          </cell>
        </row>
        <row r="156">
          <cell r="C156" t="str">
            <v>30000704TO</v>
          </cell>
          <cell r="D156" t="str">
            <v>Fund Balances - Unrestricted</v>
          </cell>
          <cell r="E156">
            <v>0</v>
          </cell>
          <cell r="F156">
            <v>0</v>
          </cell>
          <cell r="G156">
            <v>-38243.67</v>
          </cell>
        </row>
        <row r="157">
          <cell r="C157" t="str">
            <v>30000705TO</v>
          </cell>
          <cell r="D157" t="str">
            <v>Fund Balances - Unrestricted</v>
          </cell>
          <cell r="E157">
            <v>0</v>
          </cell>
          <cell r="F157">
            <v>0</v>
          </cell>
          <cell r="G157">
            <v>9355</v>
          </cell>
        </row>
        <row r="158">
          <cell r="C158" t="str">
            <v>30000706TO</v>
          </cell>
          <cell r="D158" t="str">
            <v>Fund Balances - Unrestricted</v>
          </cell>
          <cell r="E158">
            <v>0</v>
          </cell>
          <cell r="F158">
            <v>0</v>
          </cell>
          <cell r="G158">
            <v>13136</v>
          </cell>
        </row>
        <row r="159">
          <cell r="C159" t="str">
            <v>30000707TO</v>
          </cell>
          <cell r="D159" t="str">
            <v>Fund Balances - Unrestricted</v>
          </cell>
          <cell r="E159">
            <v>0</v>
          </cell>
          <cell r="F159">
            <v>0</v>
          </cell>
          <cell r="G159">
            <v>1626988.1</v>
          </cell>
        </row>
        <row r="160">
          <cell r="C160" t="str">
            <v>30000708TO</v>
          </cell>
          <cell r="D160" t="str">
            <v>Fund Balances - Unrestricted</v>
          </cell>
          <cell r="E160">
            <v>0</v>
          </cell>
          <cell r="F160">
            <v>0</v>
          </cell>
          <cell r="G160">
            <v>259004.13</v>
          </cell>
        </row>
        <row r="161">
          <cell r="C161" t="str">
            <v>30000709TO</v>
          </cell>
          <cell r="D161" t="str">
            <v>Fund Balances - Unrestricted</v>
          </cell>
          <cell r="E161">
            <v>0</v>
          </cell>
          <cell r="F161">
            <v>0</v>
          </cell>
          <cell r="G161">
            <v>75585.41</v>
          </cell>
        </row>
        <row r="162">
          <cell r="C162" t="str">
            <v>30000710TO</v>
          </cell>
          <cell r="D162" t="str">
            <v>Fund Balances - Unrestricted</v>
          </cell>
          <cell r="E162">
            <v>0</v>
          </cell>
          <cell r="F162">
            <v>0</v>
          </cell>
          <cell r="G162">
            <v>11500</v>
          </cell>
        </row>
        <row r="163">
          <cell r="C163" t="str">
            <v>30000711TO</v>
          </cell>
          <cell r="D163" t="str">
            <v>Fund Balances - Unrestricted</v>
          </cell>
          <cell r="E163">
            <v>0</v>
          </cell>
          <cell r="F163">
            <v>0</v>
          </cell>
          <cell r="G163">
            <v>-240.85</v>
          </cell>
        </row>
        <row r="164">
          <cell r="C164" t="str">
            <v>30000712TO</v>
          </cell>
          <cell r="D164" t="str">
            <v>Fund Balances - Unrestricted</v>
          </cell>
          <cell r="E164">
            <v>0</v>
          </cell>
          <cell r="F164">
            <v>0</v>
          </cell>
          <cell r="G164">
            <v>3500</v>
          </cell>
        </row>
        <row r="165">
          <cell r="C165" t="str">
            <v>30000713TO</v>
          </cell>
          <cell r="D165" t="str">
            <v>Fund Balances - Unrestricted</v>
          </cell>
          <cell r="E165">
            <v>0</v>
          </cell>
          <cell r="F165">
            <v>0</v>
          </cell>
          <cell r="G165">
            <v>50</v>
          </cell>
        </row>
        <row r="166">
          <cell r="C166" t="str">
            <v>30000714TO</v>
          </cell>
          <cell r="D166" t="str">
            <v>Fund Balances - Unrestricted</v>
          </cell>
          <cell r="E166">
            <v>0</v>
          </cell>
          <cell r="F166">
            <v>0</v>
          </cell>
          <cell r="G166">
            <v>50</v>
          </cell>
        </row>
        <row r="167">
          <cell r="C167" t="str">
            <v>30000715TO</v>
          </cell>
          <cell r="D167" t="str">
            <v>Fund Balances - Unrestricted</v>
          </cell>
          <cell r="E167">
            <v>0</v>
          </cell>
          <cell r="F167">
            <v>0</v>
          </cell>
          <cell r="G167">
            <v>2380</v>
          </cell>
        </row>
        <row r="168">
          <cell r="C168" t="str">
            <v>30000716TO</v>
          </cell>
          <cell r="D168" t="str">
            <v>Fund Balances - Unrestricted</v>
          </cell>
          <cell r="E168">
            <v>0</v>
          </cell>
          <cell r="F168">
            <v>0</v>
          </cell>
          <cell r="G168">
            <v>370</v>
          </cell>
        </row>
        <row r="169">
          <cell r="C169" t="str">
            <v>30000717TO</v>
          </cell>
          <cell r="D169" t="str">
            <v>Fund Balances - Unrestricted</v>
          </cell>
          <cell r="E169">
            <v>0</v>
          </cell>
          <cell r="F169">
            <v>0</v>
          </cell>
          <cell r="G169">
            <v>1080</v>
          </cell>
        </row>
        <row r="170">
          <cell r="C170" t="str">
            <v>30000718TO</v>
          </cell>
          <cell r="D170" t="str">
            <v>Fund Balances - Unrestricted</v>
          </cell>
          <cell r="E170">
            <v>0</v>
          </cell>
          <cell r="F170">
            <v>0</v>
          </cell>
          <cell r="G170">
            <v>484801.75</v>
          </cell>
        </row>
        <row r="171">
          <cell r="C171" t="str">
            <v>30000719TO</v>
          </cell>
          <cell r="D171" t="str">
            <v>Fund Balances - Unrestricted</v>
          </cell>
          <cell r="E171">
            <v>0</v>
          </cell>
          <cell r="F171">
            <v>0</v>
          </cell>
          <cell r="G171">
            <v>16550</v>
          </cell>
        </row>
        <row r="172">
          <cell r="C172" t="str">
            <v>30000720TO</v>
          </cell>
          <cell r="D172" t="str">
            <v>Fund Balances - Unrestricted</v>
          </cell>
          <cell r="E172">
            <v>0</v>
          </cell>
          <cell r="F172">
            <v>0</v>
          </cell>
          <cell r="G172">
            <v>54184.11</v>
          </cell>
        </row>
        <row r="173">
          <cell r="C173" t="str">
            <v>30000721TO</v>
          </cell>
          <cell r="D173" t="str">
            <v>Fund Balances - Unrestricted</v>
          </cell>
          <cell r="E173">
            <v>0</v>
          </cell>
          <cell r="F173">
            <v>0</v>
          </cell>
          <cell r="G173">
            <v>1069.75</v>
          </cell>
        </row>
        <row r="174">
          <cell r="C174" t="str">
            <v>30000800TO</v>
          </cell>
          <cell r="D174" t="str">
            <v>Fund Balances - Unrestricted</v>
          </cell>
          <cell r="E174">
            <v>0</v>
          </cell>
          <cell r="F174">
            <v>0</v>
          </cell>
          <cell r="G174">
            <v>1055</v>
          </cell>
        </row>
        <row r="175">
          <cell r="C175" t="str">
            <v>30000801TO</v>
          </cell>
          <cell r="D175" t="str">
            <v>Fund Balances - Unrestricted</v>
          </cell>
          <cell r="E175">
            <v>0</v>
          </cell>
          <cell r="F175">
            <v>0</v>
          </cell>
          <cell r="G175">
            <v>-31010</v>
          </cell>
        </row>
        <row r="176">
          <cell r="C176" t="str">
            <v>30000803TO</v>
          </cell>
          <cell r="D176" t="str">
            <v>Fund Balances - Unrestricted</v>
          </cell>
          <cell r="E176">
            <v>0</v>
          </cell>
          <cell r="F176">
            <v>0</v>
          </cell>
          <cell r="G176">
            <v>10075</v>
          </cell>
        </row>
        <row r="177">
          <cell r="C177" t="str">
            <v>30000804TO</v>
          </cell>
          <cell r="D177" t="str">
            <v>Fund Balances - Unrestricted</v>
          </cell>
          <cell r="E177">
            <v>0</v>
          </cell>
          <cell r="F177">
            <v>0</v>
          </cell>
          <cell r="G177">
            <v>46440</v>
          </cell>
        </row>
        <row r="178">
          <cell r="C178" t="str">
            <v>30000806TO</v>
          </cell>
          <cell r="D178" t="str">
            <v>Fund Balances - Unrestricted</v>
          </cell>
          <cell r="E178">
            <v>0</v>
          </cell>
          <cell r="F178">
            <v>0</v>
          </cell>
          <cell r="G178">
            <v>0</v>
          </cell>
        </row>
        <row r="179">
          <cell r="C179" t="str">
            <v>30000807TO</v>
          </cell>
          <cell r="D179" t="str">
            <v>Fund Balances - Unrestricted</v>
          </cell>
          <cell r="E179">
            <v>0</v>
          </cell>
          <cell r="F179">
            <v>0</v>
          </cell>
          <cell r="G179">
            <v>0</v>
          </cell>
        </row>
        <row r="180">
          <cell r="C180" t="str">
            <v>3000F000TE</v>
          </cell>
          <cell r="D180" t="str">
            <v>Fund Balances - Unrestricted</v>
          </cell>
          <cell r="E180">
            <v>0</v>
          </cell>
          <cell r="F180">
            <v>0</v>
          </cell>
          <cell r="G180">
            <v>-85693</v>
          </cell>
        </row>
        <row r="181">
          <cell r="C181" t="str">
            <v>3000F000TO</v>
          </cell>
          <cell r="D181" t="str">
            <v>Fund Balances - Unrestricted</v>
          </cell>
          <cell r="E181">
            <v>0</v>
          </cell>
          <cell r="F181">
            <v>0</v>
          </cell>
          <cell r="G181">
            <v>1142618.92</v>
          </cell>
        </row>
        <row r="182">
          <cell r="C182" t="str">
            <v>3000F000UG</v>
          </cell>
          <cell r="D182" t="str">
            <v>Fund Balances - Unrestricted</v>
          </cell>
          <cell r="E182">
            <v>0</v>
          </cell>
          <cell r="F182">
            <v>0</v>
          </cell>
          <cell r="G182">
            <v>-1261421.92</v>
          </cell>
        </row>
        <row r="183">
          <cell r="C183" t="str">
            <v>30100000TO</v>
          </cell>
          <cell r="D183" t="str">
            <v>Net of Revenues over Expenses</v>
          </cell>
          <cell r="E183">
            <v>0</v>
          </cell>
          <cell r="F183">
            <v>0</v>
          </cell>
          <cell r="G183">
            <v>-120000</v>
          </cell>
        </row>
        <row r="184">
          <cell r="C184" t="str">
            <v>30100000UG</v>
          </cell>
          <cell r="D184" t="str">
            <v>Net of Revenues over Expenses</v>
          </cell>
          <cell r="E184">
            <v>0</v>
          </cell>
          <cell r="F184">
            <v>128383.43</v>
          </cell>
          <cell r="G184">
            <v>211919.77</v>
          </cell>
        </row>
        <row r="185">
          <cell r="C185" t="str">
            <v>30100217TO</v>
          </cell>
          <cell r="D185" t="str">
            <v>Net of Revenues over Expenses</v>
          </cell>
          <cell r="E185">
            <v>0</v>
          </cell>
          <cell r="F185">
            <v>0</v>
          </cell>
          <cell r="G185">
            <v>-100000</v>
          </cell>
        </row>
        <row r="186">
          <cell r="C186" t="str">
            <v>30100218TO</v>
          </cell>
          <cell r="D186" t="str">
            <v>Net of Revenues over Expenses</v>
          </cell>
          <cell r="E186">
            <v>0</v>
          </cell>
          <cell r="F186">
            <v>28076.82</v>
          </cell>
          <cell r="G186">
            <v>31256.82</v>
          </cell>
        </row>
        <row r="187">
          <cell r="C187" t="str">
            <v>30100230TO</v>
          </cell>
          <cell r="D187" t="str">
            <v>Net of Revenues over Expenses</v>
          </cell>
          <cell r="E187">
            <v>0</v>
          </cell>
          <cell r="F187">
            <v>41.46</v>
          </cell>
          <cell r="G187">
            <v>5518.56</v>
          </cell>
        </row>
        <row r="188">
          <cell r="C188" t="str">
            <v>30100239TO</v>
          </cell>
          <cell r="D188" t="str">
            <v>Net of Revenues over Expenses</v>
          </cell>
          <cell r="E188">
            <v>149950</v>
          </cell>
          <cell r="F188">
            <v>0</v>
          </cell>
          <cell r="G188">
            <v>529.5</v>
          </cell>
        </row>
        <row r="189">
          <cell r="C189" t="str">
            <v>30100243TO</v>
          </cell>
          <cell r="D189" t="str">
            <v>Net of Revenues over Expenses</v>
          </cell>
          <cell r="E189">
            <v>0</v>
          </cell>
          <cell r="F189">
            <v>75</v>
          </cell>
          <cell r="G189">
            <v>-5505.07</v>
          </cell>
        </row>
        <row r="190">
          <cell r="C190" t="str">
            <v>30100251TO</v>
          </cell>
          <cell r="D190" t="str">
            <v>Net of Revenues over Expenses</v>
          </cell>
          <cell r="E190">
            <v>0</v>
          </cell>
          <cell r="F190">
            <v>630.65</v>
          </cell>
          <cell r="G190">
            <v>11030.67</v>
          </cell>
        </row>
        <row r="191">
          <cell r="C191" t="str">
            <v>30100600UG</v>
          </cell>
          <cell r="D191" t="str">
            <v>Net of Revenues over Expenses</v>
          </cell>
          <cell r="E191">
            <v>0</v>
          </cell>
          <cell r="F191">
            <v>8105.53</v>
          </cell>
          <cell r="G191">
            <v>10083.64</v>
          </cell>
        </row>
        <row r="192">
          <cell r="C192" t="str">
            <v>30100601UG</v>
          </cell>
          <cell r="D192" t="str">
            <v>Net of Revenues over Expenses</v>
          </cell>
          <cell r="E192">
            <v>0</v>
          </cell>
          <cell r="F192">
            <v>5725</v>
          </cell>
          <cell r="G192">
            <v>77169.8</v>
          </cell>
        </row>
        <row r="193">
          <cell r="C193" t="str">
            <v>30100602UG</v>
          </cell>
          <cell r="D193" t="str">
            <v>Net of Revenues over Expenses</v>
          </cell>
          <cell r="E193">
            <v>0</v>
          </cell>
          <cell r="F193">
            <v>2716.12</v>
          </cell>
          <cell r="G193">
            <v>12649.16</v>
          </cell>
        </row>
        <row r="194">
          <cell r="C194" t="str">
            <v>30100604UG</v>
          </cell>
          <cell r="D194" t="str">
            <v>Net of Revenues over Expenses</v>
          </cell>
          <cell r="E194">
            <v>1148.18</v>
          </cell>
          <cell r="F194">
            <v>0</v>
          </cell>
          <cell r="G194">
            <v>-13956.03</v>
          </cell>
        </row>
        <row r="195">
          <cell r="C195" t="str">
            <v>30100605UG</v>
          </cell>
          <cell r="D195" t="str">
            <v>Net of Revenues over Expenses</v>
          </cell>
          <cell r="E195">
            <v>71.03</v>
          </cell>
          <cell r="F195">
            <v>0</v>
          </cell>
          <cell r="G195">
            <v>-5219.7299999999996</v>
          </cell>
        </row>
        <row r="196">
          <cell r="C196" t="str">
            <v>30100606UG</v>
          </cell>
          <cell r="D196" t="str">
            <v>Net of Revenues over Expenses</v>
          </cell>
          <cell r="E196">
            <v>72.84</v>
          </cell>
          <cell r="F196">
            <v>0</v>
          </cell>
          <cell r="G196">
            <v>-126.62</v>
          </cell>
        </row>
        <row r="197">
          <cell r="C197" t="str">
            <v>30100609UG</v>
          </cell>
          <cell r="D197" t="str">
            <v>Net of Revenues over Expenses</v>
          </cell>
          <cell r="E197">
            <v>20856.47</v>
          </cell>
          <cell r="F197">
            <v>0</v>
          </cell>
          <cell r="G197">
            <v>-24139.38</v>
          </cell>
        </row>
        <row r="198">
          <cell r="C198" t="str">
            <v>30100699UG</v>
          </cell>
          <cell r="D198" t="str">
            <v>Net of Revenues over Expenses</v>
          </cell>
          <cell r="E198">
            <v>1512.93</v>
          </cell>
          <cell r="F198">
            <v>0</v>
          </cell>
          <cell r="G198">
            <v>2182.66</v>
          </cell>
        </row>
        <row r="199">
          <cell r="C199" t="str">
            <v>30100702TO</v>
          </cell>
          <cell r="D199" t="str">
            <v>Net of Revenues over Expenses</v>
          </cell>
          <cell r="E199">
            <v>0</v>
          </cell>
          <cell r="F199">
            <v>220</v>
          </cell>
          <cell r="G199">
            <v>16773</v>
          </cell>
        </row>
        <row r="200">
          <cell r="C200" t="str">
            <v>30100704TO</v>
          </cell>
          <cell r="D200" t="str">
            <v>Net of Revenues over Expenses</v>
          </cell>
          <cell r="E200">
            <v>0</v>
          </cell>
          <cell r="F200">
            <v>61750</v>
          </cell>
          <cell r="G200">
            <v>62308</v>
          </cell>
        </row>
        <row r="201">
          <cell r="C201" t="str">
            <v>30100705TO</v>
          </cell>
          <cell r="D201" t="str">
            <v>Net of Revenues over Expenses</v>
          </cell>
          <cell r="E201">
            <v>0</v>
          </cell>
          <cell r="F201">
            <v>110</v>
          </cell>
          <cell r="G201">
            <v>2800</v>
          </cell>
        </row>
        <row r="202">
          <cell r="C202" t="str">
            <v>30100706TO</v>
          </cell>
          <cell r="D202" t="str">
            <v>Net of Revenues over Expenses</v>
          </cell>
          <cell r="E202">
            <v>0</v>
          </cell>
          <cell r="F202">
            <v>50</v>
          </cell>
          <cell r="G202">
            <v>50</v>
          </cell>
        </row>
        <row r="203">
          <cell r="C203" t="str">
            <v>30100707TO</v>
          </cell>
          <cell r="D203" t="str">
            <v>Net of Revenues over Expenses</v>
          </cell>
          <cell r="E203">
            <v>0</v>
          </cell>
          <cell r="F203">
            <v>75</v>
          </cell>
          <cell r="G203">
            <v>486</v>
          </cell>
        </row>
        <row r="204">
          <cell r="C204" t="str">
            <v>30100708TO</v>
          </cell>
          <cell r="D204" t="str">
            <v>Net of Revenues over Expenses</v>
          </cell>
          <cell r="E204">
            <v>0</v>
          </cell>
          <cell r="F204">
            <v>0</v>
          </cell>
          <cell r="G204">
            <v>75</v>
          </cell>
        </row>
        <row r="205">
          <cell r="C205" t="str">
            <v>30100709TO</v>
          </cell>
          <cell r="D205" t="str">
            <v>Net of Revenues over Expenses</v>
          </cell>
          <cell r="E205">
            <v>0</v>
          </cell>
          <cell r="F205">
            <v>19055</v>
          </cell>
          <cell r="G205">
            <v>54176.75</v>
          </cell>
        </row>
        <row r="206">
          <cell r="C206" t="str">
            <v>30100710TO</v>
          </cell>
          <cell r="D206" t="str">
            <v>Net of Revenues over Expenses</v>
          </cell>
          <cell r="E206">
            <v>0</v>
          </cell>
          <cell r="F206">
            <v>0</v>
          </cell>
          <cell r="G206">
            <v>-23800</v>
          </cell>
        </row>
        <row r="207">
          <cell r="C207" t="str">
            <v>30100714TO</v>
          </cell>
          <cell r="D207" t="str">
            <v>Net of Revenues over Expenses</v>
          </cell>
          <cell r="E207">
            <v>0</v>
          </cell>
          <cell r="F207">
            <v>100000</v>
          </cell>
          <cell r="G207">
            <v>168409.11</v>
          </cell>
        </row>
        <row r="208">
          <cell r="C208" t="str">
            <v>30100715TO</v>
          </cell>
          <cell r="D208" t="str">
            <v>Net of Revenues over Expenses</v>
          </cell>
          <cell r="E208">
            <v>0</v>
          </cell>
          <cell r="F208">
            <v>0</v>
          </cell>
          <cell r="G208">
            <v>1225</v>
          </cell>
        </row>
        <row r="209">
          <cell r="C209" t="str">
            <v>30100716TO</v>
          </cell>
          <cell r="D209" t="str">
            <v>Net of Revenues over Expenses</v>
          </cell>
          <cell r="E209">
            <v>0</v>
          </cell>
          <cell r="F209">
            <v>0</v>
          </cell>
          <cell r="G209">
            <v>1280</v>
          </cell>
        </row>
        <row r="210">
          <cell r="C210" t="str">
            <v>30100718TO</v>
          </cell>
          <cell r="D210" t="str">
            <v>Net of Revenues over Expenses</v>
          </cell>
          <cell r="E210">
            <v>0</v>
          </cell>
          <cell r="F210">
            <v>6380</v>
          </cell>
          <cell r="G210">
            <v>89924.5</v>
          </cell>
        </row>
        <row r="211">
          <cell r="C211" t="str">
            <v>30100720TO</v>
          </cell>
          <cell r="D211" t="str">
            <v>Net of Revenues over Expenses</v>
          </cell>
          <cell r="E211">
            <v>0</v>
          </cell>
          <cell r="F211">
            <v>10175</v>
          </cell>
          <cell r="G211">
            <v>17843</v>
          </cell>
        </row>
        <row r="212">
          <cell r="C212" t="str">
            <v>30100721TO</v>
          </cell>
          <cell r="D212" t="str">
            <v>Net of Revenues over Expenses</v>
          </cell>
          <cell r="E212">
            <v>0</v>
          </cell>
          <cell r="F212">
            <v>0</v>
          </cell>
          <cell r="G212">
            <v>2772.62</v>
          </cell>
        </row>
        <row r="213">
          <cell r="C213" t="str">
            <v>30100801TO</v>
          </cell>
          <cell r="D213" t="str">
            <v>Net of Revenues over Expenses</v>
          </cell>
          <cell r="E213">
            <v>0</v>
          </cell>
          <cell r="F213">
            <v>0</v>
          </cell>
          <cell r="G213">
            <v>0</v>
          </cell>
        </row>
        <row r="214">
          <cell r="C214" t="str">
            <v>30100805TO</v>
          </cell>
          <cell r="D214" t="str">
            <v>Net of Revenues over Expenses</v>
          </cell>
          <cell r="E214">
            <v>0</v>
          </cell>
          <cell r="F214">
            <v>10</v>
          </cell>
          <cell r="G214">
            <v>10</v>
          </cell>
        </row>
        <row r="215">
          <cell r="C215" t="str">
            <v>30100807TO</v>
          </cell>
          <cell r="D215" t="str">
            <v>Net of Revenues over Expenses</v>
          </cell>
          <cell r="E215">
            <v>0</v>
          </cell>
          <cell r="F215">
            <v>25</v>
          </cell>
          <cell r="G215">
            <v>525</v>
          </cell>
        </row>
        <row r="216">
          <cell r="C216" t="str">
            <v>31000000TO</v>
          </cell>
          <cell r="D216" t="str">
            <v>Fund Balances - Restricted</v>
          </cell>
          <cell r="E216">
            <v>0</v>
          </cell>
          <cell r="F216">
            <v>0</v>
          </cell>
          <cell r="G216">
            <v>366487</v>
          </cell>
        </row>
        <row r="217">
          <cell r="C217" t="str">
            <v>31000101PE</v>
          </cell>
          <cell r="D217" t="str">
            <v>Fund Balances - Restricted</v>
          </cell>
          <cell r="E217">
            <v>0</v>
          </cell>
          <cell r="F217">
            <v>0</v>
          </cell>
          <cell r="G217">
            <v>1015773.16</v>
          </cell>
        </row>
        <row r="218">
          <cell r="C218" t="str">
            <v>31000101TE</v>
          </cell>
          <cell r="D218" t="str">
            <v>Fund Balances - Restricted</v>
          </cell>
          <cell r="E218">
            <v>0</v>
          </cell>
          <cell r="F218">
            <v>0</v>
          </cell>
          <cell r="G218">
            <v>16022</v>
          </cell>
        </row>
        <row r="219">
          <cell r="C219" t="str">
            <v>31000220TO</v>
          </cell>
          <cell r="D219" t="str">
            <v>Fund Balances - Restricted</v>
          </cell>
          <cell r="E219">
            <v>0</v>
          </cell>
          <cell r="F219">
            <v>0</v>
          </cell>
          <cell r="G219">
            <v>85277.89</v>
          </cell>
        </row>
        <row r="220">
          <cell r="C220" t="str">
            <v>31000221TO</v>
          </cell>
          <cell r="D220" t="str">
            <v>Fund Balances - Restricted</v>
          </cell>
          <cell r="E220">
            <v>0</v>
          </cell>
          <cell r="F220">
            <v>0</v>
          </cell>
          <cell r="G220">
            <v>15000</v>
          </cell>
        </row>
        <row r="221">
          <cell r="C221" t="str">
            <v>31000300TO</v>
          </cell>
          <cell r="D221" t="str">
            <v>Fund Balances - Restricted</v>
          </cell>
          <cell r="E221">
            <v>0</v>
          </cell>
          <cell r="F221">
            <v>0</v>
          </cell>
          <cell r="G221">
            <v>150000</v>
          </cell>
        </row>
        <row r="222">
          <cell r="C222" t="str">
            <v>32000102PE</v>
          </cell>
          <cell r="D222" t="str">
            <v>Fund Balance Transfers</v>
          </cell>
          <cell r="E222">
            <v>0</v>
          </cell>
          <cell r="F222">
            <v>0</v>
          </cell>
          <cell r="G222">
            <v>211590</v>
          </cell>
        </row>
        <row r="223">
          <cell r="C223" t="str">
            <v>32000102TE</v>
          </cell>
          <cell r="D223" t="str">
            <v>Fund Balance Transfers</v>
          </cell>
          <cell r="E223">
            <v>0</v>
          </cell>
          <cell r="F223">
            <v>0</v>
          </cell>
          <cell r="G223">
            <v>23687.89</v>
          </cell>
        </row>
        <row r="224">
          <cell r="C224" t="str">
            <v>32000220TO</v>
          </cell>
          <cell r="D224" t="str">
            <v>Fund Balance Transfers</v>
          </cell>
          <cell r="E224">
            <v>0</v>
          </cell>
          <cell r="F224">
            <v>0</v>
          </cell>
          <cell r="G224">
            <v>-85277.89</v>
          </cell>
        </row>
        <row r="225">
          <cell r="C225" t="str">
            <v>32000300TO</v>
          </cell>
          <cell r="D225" t="str">
            <v>Fund Balance Transfers</v>
          </cell>
          <cell r="E225">
            <v>0</v>
          </cell>
          <cell r="F225">
            <v>0</v>
          </cell>
          <cell r="G225">
            <v>-150000</v>
          </cell>
        </row>
        <row r="226">
          <cell r="C226" t="str">
            <v>3910F000PE</v>
          </cell>
          <cell r="D226" t="str">
            <v>Fund Bal Restricted - U/R Gain</v>
          </cell>
          <cell r="E226">
            <v>0</v>
          </cell>
          <cell r="F226">
            <v>0</v>
          </cell>
          <cell r="G226">
            <v>2835729.49</v>
          </cell>
        </row>
        <row r="227">
          <cell r="C227" t="str">
            <v>3920F000TE</v>
          </cell>
          <cell r="D227" t="str">
            <v>Fund Bal Restricted - Accr Inv</v>
          </cell>
          <cell r="E227">
            <v>0</v>
          </cell>
          <cell r="F227">
            <v>0</v>
          </cell>
          <cell r="G227">
            <v>852793.26</v>
          </cell>
        </row>
        <row r="228">
          <cell r="C228" t="str">
            <v>3930F000TO</v>
          </cell>
          <cell r="D228" t="str">
            <v>Fund Bal Restricted - Pledges</v>
          </cell>
          <cell r="E228">
            <v>0</v>
          </cell>
          <cell r="F228">
            <v>0</v>
          </cell>
          <cell r="G228">
            <v>1545829.75</v>
          </cell>
        </row>
        <row r="229">
          <cell r="C229" t="str">
            <v>40000601UG</v>
          </cell>
          <cell r="D229" t="str">
            <v>Contributions</v>
          </cell>
          <cell r="E229">
            <v>0</v>
          </cell>
          <cell r="F229">
            <v>6000</v>
          </cell>
          <cell r="G229">
            <v>77550</v>
          </cell>
        </row>
        <row r="230">
          <cell r="C230" t="str">
            <v>40000699UG</v>
          </cell>
          <cell r="D230" t="str">
            <v>Contributions</v>
          </cell>
          <cell r="E230">
            <v>0</v>
          </cell>
          <cell r="F230">
            <v>1741</v>
          </cell>
          <cell r="G230">
            <v>7437.85</v>
          </cell>
        </row>
        <row r="231">
          <cell r="C231" t="str">
            <v>40010218TO</v>
          </cell>
          <cell r="D231" t="str">
            <v>Contributions - Restricted</v>
          </cell>
          <cell r="E231">
            <v>0</v>
          </cell>
          <cell r="F231">
            <v>0</v>
          </cell>
          <cell r="G231">
            <v>2500</v>
          </cell>
        </row>
        <row r="232">
          <cell r="C232" t="str">
            <v>40010230TO</v>
          </cell>
          <cell r="D232" t="str">
            <v>Contributions - Restricted</v>
          </cell>
          <cell r="E232">
            <v>0</v>
          </cell>
          <cell r="F232">
            <v>16.46</v>
          </cell>
          <cell r="G232">
            <v>5493.56</v>
          </cell>
        </row>
        <row r="233">
          <cell r="C233" t="str">
            <v>40010239TO</v>
          </cell>
          <cell r="D233" t="str">
            <v>Contributions - Restricted</v>
          </cell>
          <cell r="E233">
            <v>0</v>
          </cell>
          <cell r="F233">
            <v>0</v>
          </cell>
          <cell r="G233">
            <v>35</v>
          </cell>
        </row>
        <row r="234">
          <cell r="C234" t="str">
            <v>40010243TO</v>
          </cell>
          <cell r="D234" t="str">
            <v>Contributions - Restricted</v>
          </cell>
          <cell r="E234">
            <v>0</v>
          </cell>
          <cell r="F234">
            <v>0</v>
          </cell>
          <cell r="G234">
            <v>125</v>
          </cell>
        </row>
        <row r="235">
          <cell r="C235" t="str">
            <v>40010705TO</v>
          </cell>
          <cell r="D235" t="str">
            <v>Contributions - Restricted</v>
          </cell>
          <cell r="E235">
            <v>0</v>
          </cell>
          <cell r="F235">
            <v>0</v>
          </cell>
          <cell r="G235">
            <v>50</v>
          </cell>
        </row>
        <row r="236">
          <cell r="C236" t="str">
            <v>40010716TO</v>
          </cell>
          <cell r="D236" t="str">
            <v>Contributions - Restricted</v>
          </cell>
          <cell r="E236">
            <v>0</v>
          </cell>
          <cell r="F236">
            <v>0</v>
          </cell>
          <cell r="G236">
            <v>1270</v>
          </cell>
        </row>
        <row r="237">
          <cell r="C237" t="str">
            <v>40010718TO</v>
          </cell>
          <cell r="D237" t="str">
            <v>Contributions - Restricted</v>
          </cell>
          <cell r="E237">
            <v>0</v>
          </cell>
          <cell r="F237">
            <v>4975</v>
          </cell>
          <cell r="G237">
            <v>16230</v>
          </cell>
        </row>
        <row r="238">
          <cell r="C238" t="str">
            <v>40010720TO</v>
          </cell>
          <cell r="D238" t="str">
            <v>Contributions - Restricted</v>
          </cell>
          <cell r="E238">
            <v>0</v>
          </cell>
          <cell r="F238">
            <v>0</v>
          </cell>
          <cell r="G238">
            <v>1500</v>
          </cell>
        </row>
        <row r="239">
          <cell r="C239" t="str">
            <v>40050218TO</v>
          </cell>
          <cell r="D239" t="str">
            <v>Special Events</v>
          </cell>
          <cell r="E239">
            <v>0</v>
          </cell>
          <cell r="F239">
            <v>0</v>
          </cell>
          <cell r="G239">
            <v>12000</v>
          </cell>
        </row>
        <row r="240">
          <cell r="C240" t="str">
            <v>40050239TO</v>
          </cell>
          <cell r="D240" t="str">
            <v>Special Events</v>
          </cell>
          <cell r="E240">
            <v>0</v>
          </cell>
          <cell r="F240">
            <v>0</v>
          </cell>
          <cell r="G240">
            <v>294.5</v>
          </cell>
        </row>
        <row r="241">
          <cell r="C241" t="str">
            <v>40050243TO</v>
          </cell>
          <cell r="D241" t="str">
            <v>Special Events</v>
          </cell>
          <cell r="E241">
            <v>0</v>
          </cell>
          <cell r="F241">
            <v>50</v>
          </cell>
          <cell r="G241">
            <v>50</v>
          </cell>
        </row>
        <row r="242">
          <cell r="C242" t="str">
            <v>40050702TO</v>
          </cell>
          <cell r="D242" t="str">
            <v>Special Events</v>
          </cell>
          <cell r="E242">
            <v>0</v>
          </cell>
          <cell r="F242">
            <v>0</v>
          </cell>
          <cell r="G242">
            <v>14003</v>
          </cell>
        </row>
        <row r="243">
          <cell r="C243" t="str">
            <v>40050704TO</v>
          </cell>
          <cell r="D243" t="str">
            <v>Special Events</v>
          </cell>
          <cell r="E243">
            <v>0</v>
          </cell>
          <cell r="F243">
            <v>61750</v>
          </cell>
          <cell r="G243">
            <v>61750</v>
          </cell>
        </row>
        <row r="244">
          <cell r="C244" t="str">
            <v>40050709TO</v>
          </cell>
          <cell r="D244" t="str">
            <v>Special Events</v>
          </cell>
          <cell r="E244">
            <v>0</v>
          </cell>
          <cell r="F244">
            <v>19055</v>
          </cell>
          <cell r="G244">
            <v>54176.75</v>
          </cell>
        </row>
        <row r="245">
          <cell r="C245" t="str">
            <v>40050718TO</v>
          </cell>
          <cell r="D245" t="str">
            <v>Special Events</v>
          </cell>
          <cell r="E245">
            <v>0</v>
          </cell>
          <cell r="F245">
            <v>0</v>
          </cell>
          <cell r="G245">
            <v>294.5</v>
          </cell>
        </row>
        <row r="246">
          <cell r="C246" t="str">
            <v>40060230TO</v>
          </cell>
          <cell r="D246" t="str">
            <v>Appeal Contributions</v>
          </cell>
          <cell r="E246">
            <v>0</v>
          </cell>
          <cell r="F246">
            <v>25</v>
          </cell>
          <cell r="G246">
            <v>25</v>
          </cell>
        </row>
        <row r="247">
          <cell r="C247" t="str">
            <v>40060239TO</v>
          </cell>
          <cell r="D247" t="str">
            <v>Appeal Contributions</v>
          </cell>
          <cell r="E247">
            <v>0</v>
          </cell>
          <cell r="F247">
            <v>0</v>
          </cell>
          <cell r="G247">
            <v>100</v>
          </cell>
        </row>
        <row r="248">
          <cell r="C248" t="str">
            <v>40060600UG</v>
          </cell>
          <cell r="D248" t="str">
            <v>Appeal Contributions</v>
          </cell>
          <cell r="E248">
            <v>0</v>
          </cell>
          <cell r="F248">
            <v>8836.74</v>
          </cell>
          <cell r="G248">
            <v>21225.74</v>
          </cell>
        </row>
        <row r="249">
          <cell r="C249" t="str">
            <v>40060702TO</v>
          </cell>
          <cell r="D249" t="str">
            <v>Appeal Contributions</v>
          </cell>
          <cell r="E249">
            <v>0</v>
          </cell>
          <cell r="F249">
            <v>25</v>
          </cell>
          <cell r="G249">
            <v>25</v>
          </cell>
        </row>
        <row r="250">
          <cell r="C250" t="str">
            <v>40060705TO</v>
          </cell>
          <cell r="D250" t="str">
            <v>Appeal Contributions</v>
          </cell>
          <cell r="E250">
            <v>0</v>
          </cell>
          <cell r="F250">
            <v>0</v>
          </cell>
          <cell r="G250">
            <v>25</v>
          </cell>
        </row>
        <row r="251">
          <cell r="C251" t="str">
            <v>40060706TO</v>
          </cell>
          <cell r="D251" t="str">
            <v>Appeal Contributions</v>
          </cell>
          <cell r="E251">
            <v>0</v>
          </cell>
          <cell r="F251">
            <v>50</v>
          </cell>
          <cell r="G251">
            <v>50</v>
          </cell>
        </row>
        <row r="252">
          <cell r="C252" t="str">
            <v>40060709TO</v>
          </cell>
          <cell r="D252" t="str">
            <v>Appeal Contributions</v>
          </cell>
          <cell r="E252">
            <v>0</v>
          </cell>
          <cell r="F252">
            <v>0</v>
          </cell>
          <cell r="G252">
            <v>0</v>
          </cell>
        </row>
        <row r="253">
          <cell r="C253" t="str">
            <v>40060714TO</v>
          </cell>
          <cell r="D253" t="str">
            <v>Appeal Contributions</v>
          </cell>
          <cell r="E253">
            <v>0</v>
          </cell>
          <cell r="F253">
            <v>0</v>
          </cell>
          <cell r="G253">
            <v>100</v>
          </cell>
        </row>
        <row r="254">
          <cell r="C254" t="str">
            <v>40060716TO</v>
          </cell>
          <cell r="D254" t="str">
            <v>Appeal Contributions</v>
          </cell>
          <cell r="E254">
            <v>0</v>
          </cell>
          <cell r="F254">
            <v>0</v>
          </cell>
          <cell r="G254">
            <v>10</v>
          </cell>
        </row>
        <row r="255">
          <cell r="C255" t="str">
            <v>40060721TO</v>
          </cell>
          <cell r="D255" t="str">
            <v>Appeal Contributions</v>
          </cell>
          <cell r="E255">
            <v>0</v>
          </cell>
          <cell r="F255">
            <v>0</v>
          </cell>
          <cell r="G255">
            <v>100</v>
          </cell>
        </row>
        <row r="256">
          <cell r="C256" t="str">
            <v>40060805TO</v>
          </cell>
          <cell r="D256" t="str">
            <v>Appeal Contributions</v>
          </cell>
          <cell r="E256">
            <v>0</v>
          </cell>
          <cell r="F256">
            <v>10</v>
          </cell>
          <cell r="G256">
            <v>10</v>
          </cell>
        </row>
        <row r="257">
          <cell r="C257" t="str">
            <v>40060807TO</v>
          </cell>
          <cell r="D257" t="str">
            <v>Appeal Contributions</v>
          </cell>
          <cell r="E257">
            <v>0</v>
          </cell>
          <cell r="F257">
            <v>25</v>
          </cell>
          <cell r="G257">
            <v>25</v>
          </cell>
        </row>
        <row r="258">
          <cell r="C258" t="str">
            <v>40070000UG</v>
          </cell>
          <cell r="D258" t="str">
            <v>Current Support (25k and over)</v>
          </cell>
          <cell r="E258">
            <v>0</v>
          </cell>
          <cell r="F258">
            <v>150000</v>
          </cell>
          <cell r="G258">
            <v>205000</v>
          </cell>
        </row>
        <row r="259">
          <cell r="C259" t="str">
            <v>40070218TO</v>
          </cell>
          <cell r="D259" t="str">
            <v>Current Support (25k and over)</v>
          </cell>
          <cell r="E259">
            <v>0</v>
          </cell>
          <cell r="F259">
            <v>127721.32</v>
          </cell>
          <cell r="G259">
            <v>277721.32</v>
          </cell>
        </row>
        <row r="260">
          <cell r="C260" t="str">
            <v>40070718TO</v>
          </cell>
          <cell r="D260" t="str">
            <v>Current Support (25k and over)</v>
          </cell>
          <cell r="E260">
            <v>0</v>
          </cell>
          <cell r="F260">
            <v>0</v>
          </cell>
          <cell r="G260">
            <v>50000</v>
          </cell>
        </row>
        <row r="261">
          <cell r="C261" t="str">
            <v>40070801TO</v>
          </cell>
          <cell r="D261" t="str">
            <v>Current Support (25k and over)</v>
          </cell>
          <cell r="E261">
            <v>0</v>
          </cell>
          <cell r="F261">
            <v>0</v>
          </cell>
          <cell r="G261">
            <v>150000</v>
          </cell>
        </row>
        <row r="262">
          <cell r="C262" t="str">
            <v>40080000UG</v>
          </cell>
          <cell r="D262" t="str">
            <v>Programmatic Initiatives (25k)</v>
          </cell>
          <cell r="E262">
            <v>0</v>
          </cell>
          <cell r="F262">
            <v>20000</v>
          </cell>
          <cell r="G262">
            <v>20000</v>
          </cell>
        </row>
        <row r="263">
          <cell r="C263" t="str">
            <v>40080239TO</v>
          </cell>
          <cell r="D263" t="str">
            <v>Programmatic Initiatives (25k)</v>
          </cell>
          <cell r="E263">
            <v>0</v>
          </cell>
          <cell r="F263">
            <v>0</v>
          </cell>
          <cell r="G263">
            <v>150000</v>
          </cell>
        </row>
        <row r="264">
          <cell r="C264" t="str">
            <v>40080714TO</v>
          </cell>
          <cell r="D264" t="str">
            <v>Programmatic Initiatives (25k)</v>
          </cell>
          <cell r="E264">
            <v>0</v>
          </cell>
          <cell r="F264">
            <v>100000</v>
          </cell>
          <cell r="G264">
            <v>166666.67000000001</v>
          </cell>
        </row>
        <row r="265">
          <cell r="C265" t="str">
            <v>40200602UG</v>
          </cell>
          <cell r="D265" t="str">
            <v>Tributes Contrib.</v>
          </cell>
          <cell r="E265">
            <v>0</v>
          </cell>
          <cell r="F265">
            <v>2750</v>
          </cell>
          <cell r="G265">
            <v>12782</v>
          </cell>
        </row>
        <row r="266">
          <cell r="C266" t="str">
            <v>40210218TO</v>
          </cell>
          <cell r="D266" t="str">
            <v>Tributes Contrib. - Restricted</v>
          </cell>
          <cell r="E266">
            <v>0</v>
          </cell>
          <cell r="F266">
            <v>0</v>
          </cell>
          <cell r="G266">
            <v>680</v>
          </cell>
        </row>
        <row r="267">
          <cell r="C267" t="str">
            <v>40210239TO</v>
          </cell>
          <cell r="D267" t="str">
            <v>Tributes Contrib. - Restricted</v>
          </cell>
          <cell r="E267">
            <v>0</v>
          </cell>
          <cell r="F267">
            <v>50</v>
          </cell>
          <cell r="G267">
            <v>100</v>
          </cell>
        </row>
        <row r="268">
          <cell r="C268" t="str">
            <v>40210243TO</v>
          </cell>
          <cell r="D268" t="str">
            <v>Tributes Contrib. - Restricted</v>
          </cell>
          <cell r="E268">
            <v>0</v>
          </cell>
          <cell r="F268">
            <v>25</v>
          </cell>
          <cell r="G268">
            <v>45</v>
          </cell>
        </row>
        <row r="269">
          <cell r="C269" t="str">
            <v>40210702TO</v>
          </cell>
          <cell r="D269" t="str">
            <v>Tributes Contrib. - Restricted</v>
          </cell>
          <cell r="E269">
            <v>0</v>
          </cell>
          <cell r="F269">
            <v>195</v>
          </cell>
          <cell r="G269">
            <v>2745</v>
          </cell>
        </row>
        <row r="270">
          <cell r="C270" t="str">
            <v>40210704TO</v>
          </cell>
          <cell r="D270" t="str">
            <v>Tributes Contrib. - Restricted</v>
          </cell>
          <cell r="E270">
            <v>0</v>
          </cell>
          <cell r="F270">
            <v>0</v>
          </cell>
          <cell r="G270">
            <v>558</v>
          </cell>
        </row>
        <row r="271">
          <cell r="C271" t="str">
            <v>40210705TO</v>
          </cell>
          <cell r="D271" t="str">
            <v>Tributes Contrib. - Restricted</v>
          </cell>
          <cell r="E271">
            <v>0</v>
          </cell>
          <cell r="F271">
            <v>110</v>
          </cell>
          <cell r="G271">
            <v>2725</v>
          </cell>
        </row>
        <row r="272">
          <cell r="C272" t="str">
            <v>40210707TO</v>
          </cell>
          <cell r="D272" t="str">
            <v>Tributes Contrib. - Restricted</v>
          </cell>
          <cell r="E272">
            <v>0</v>
          </cell>
          <cell r="F272">
            <v>75</v>
          </cell>
          <cell r="G272">
            <v>486</v>
          </cell>
        </row>
        <row r="273">
          <cell r="C273" t="str">
            <v>40210708TO</v>
          </cell>
          <cell r="D273" t="str">
            <v>Tributes Contrib. - Restricted</v>
          </cell>
          <cell r="E273">
            <v>0</v>
          </cell>
          <cell r="F273">
            <v>0</v>
          </cell>
          <cell r="G273">
            <v>75</v>
          </cell>
        </row>
        <row r="274">
          <cell r="C274" t="str">
            <v>40210714TO</v>
          </cell>
          <cell r="D274" t="str">
            <v>Tributes Contrib. - Restricted</v>
          </cell>
          <cell r="E274">
            <v>0</v>
          </cell>
          <cell r="F274">
            <v>0</v>
          </cell>
          <cell r="G274">
            <v>1642.44</v>
          </cell>
        </row>
        <row r="275">
          <cell r="C275" t="str">
            <v>40210715TO</v>
          </cell>
          <cell r="D275" t="str">
            <v>Tributes Contrib. - Restricted</v>
          </cell>
          <cell r="E275">
            <v>0</v>
          </cell>
          <cell r="F275">
            <v>0</v>
          </cell>
          <cell r="G275">
            <v>1225</v>
          </cell>
        </row>
        <row r="276">
          <cell r="C276" t="str">
            <v>40210718TO</v>
          </cell>
          <cell r="D276" t="str">
            <v>Tributes Contrib. - Restricted</v>
          </cell>
          <cell r="E276">
            <v>0</v>
          </cell>
          <cell r="F276">
            <v>1405</v>
          </cell>
          <cell r="G276">
            <v>23400</v>
          </cell>
        </row>
        <row r="277">
          <cell r="C277" t="str">
            <v>40210720TO</v>
          </cell>
          <cell r="D277" t="str">
            <v>Tributes Contrib. - Restricted</v>
          </cell>
          <cell r="E277">
            <v>0</v>
          </cell>
          <cell r="F277">
            <v>10175</v>
          </cell>
          <cell r="G277">
            <v>16343</v>
          </cell>
        </row>
        <row r="278">
          <cell r="C278" t="str">
            <v>40210721TO</v>
          </cell>
          <cell r="D278" t="str">
            <v>Tributes Contrib. - Restricted</v>
          </cell>
          <cell r="E278">
            <v>0</v>
          </cell>
          <cell r="F278">
            <v>0</v>
          </cell>
          <cell r="G278">
            <v>2672.62</v>
          </cell>
        </row>
        <row r="279">
          <cell r="C279" t="str">
            <v>40210807TO</v>
          </cell>
          <cell r="D279" t="str">
            <v>Tributes Contrib. - Restricted</v>
          </cell>
          <cell r="E279">
            <v>0</v>
          </cell>
          <cell r="F279">
            <v>0</v>
          </cell>
          <cell r="G279">
            <v>500</v>
          </cell>
        </row>
        <row r="280">
          <cell r="C280" t="str">
            <v>40250000UG</v>
          </cell>
          <cell r="D280" t="str">
            <v>Planned Giving Contrib.</v>
          </cell>
          <cell r="E280">
            <v>0</v>
          </cell>
          <cell r="F280">
            <v>15000</v>
          </cell>
          <cell r="G280">
            <v>15000</v>
          </cell>
        </row>
        <row r="281">
          <cell r="C281" t="str">
            <v>41000000UG</v>
          </cell>
          <cell r="D281" t="str">
            <v>Conejo Valley\Westlake Guild</v>
          </cell>
          <cell r="E281">
            <v>0</v>
          </cell>
          <cell r="F281">
            <v>977</v>
          </cell>
          <cell r="G281">
            <v>2163</v>
          </cell>
        </row>
        <row r="282">
          <cell r="C282" t="str">
            <v>41100000UG</v>
          </cell>
          <cell r="D282" t="str">
            <v>Valley - Contributions</v>
          </cell>
          <cell r="E282">
            <v>0</v>
          </cell>
          <cell r="F282">
            <v>16000</v>
          </cell>
          <cell r="G282">
            <v>16000</v>
          </cell>
        </row>
        <row r="283">
          <cell r="C283" t="str">
            <v>42000000UG</v>
          </cell>
          <cell r="D283" t="str">
            <v>Investment Inc. - S/T Fnd.</v>
          </cell>
          <cell r="E283">
            <v>0</v>
          </cell>
          <cell r="F283">
            <v>11114.56</v>
          </cell>
          <cell r="G283">
            <v>37384.870000000003</v>
          </cell>
        </row>
        <row r="284">
          <cell r="C284" t="str">
            <v>42200000UG</v>
          </cell>
          <cell r="D284" t="str">
            <v>Investment Inc. - L/T Fnd.</v>
          </cell>
          <cell r="E284">
            <v>574.66</v>
          </cell>
          <cell r="F284">
            <v>16759.78</v>
          </cell>
          <cell r="G284">
            <v>32246.42</v>
          </cell>
        </row>
        <row r="285">
          <cell r="C285" t="str">
            <v>42300000UG</v>
          </cell>
          <cell r="D285" t="str">
            <v>Investment Inc. - Regent STIP</v>
          </cell>
          <cell r="E285">
            <v>0</v>
          </cell>
          <cell r="F285">
            <v>0</v>
          </cell>
          <cell r="G285">
            <v>59411.09</v>
          </cell>
        </row>
        <row r="286">
          <cell r="C286" t="str">
            <v>50150000UG</v>
          </cell>
          <cell r="D286" t="str">
            <v>Donor Cul/Stewardship</v>
          </cell>
          <cell r="E286">
            <v>3629.16</v>
          </cell>
          <cell r="F286">
            <v>0</v>
          </cell>
          <cell r="G286">
            <v>9348.89</v>
          </cell>
        </row>
        <row r="287">
          <cell r="C287" t="str">
            <v>50200605UG</v>
          </cell>
          <cell r="D287" t="str">
            <v>Special Events &amp; Guilds</v>
          </cell>
          <cell r="E287">
            <v>71.03</v>
          </cell>
          <cell r="F287">
            <v>0</v>
          </cell>
          <cell r="G287">
            <v>5219.7299999999996</v>
          </cell>
        </row>
        <row r="288">
          <cell r="C288" t="str">
            <v>50200606UG</v>
          </cell>
          <cell r="D288" t="str">
            <v>Special Events &amp; Guilds</v>
          </cell>
          <cell r="E288">
            <v>72.84</v>
          </cell>
          <cell r="F288">
            <v>0</v>
          </cell>
          <cell r="G288">
            <v>126.62</v>
          </cell>
        </row>
        <row r="289">
          <cell r="C289" t="str">
            <v>50200609UG</v>
          </cell>
          <cell r="D289" t="str">
            <v>Special Events &amp; Guilds</v>
          </cell>
          <cell r="E289">
            <v>0</v>
          </cell>
          <cell r="F289">
            <v>0</v>
          </cell>
          <cell r="G289">
            <v>22.58</v>
          </cell>
        </row>
        <row r="290">
          <cell r="C290" t="str">
            <v>50200699UG</v>
          </cell>
          <cell r="D290" t="str">
            <v>Special Events &amp; Guilds</v>
          </cell>
          <cell r="E290">
            <v>3253.93</v>
          </cell>
          <cell r="F290">
            <v>0</v>
          </cell>
          <cell r="G290">
            <v>5255.19</v>
          </cell>
        </row>
        <row r="291">
          <cell r="C291" t="str">
            <v>50210604UG</v>
          </cell>
          <cell r="D291" t="str">
            <v>Board Activities</v>
          </cell>
          <cell r="E291">
            <v>1148.18</v>
          </cell>
          <cell r="F291">
            <v>0</v>
          </cell>
          <cell r="G291">
            <v>13956.03</v>
          </cell>
        </row>
        <row r="292">
          <cell r="C292" t="str">
            <v>50300600UG</v>
          </cell>
          <cell r="D292" t="str">
            <v>Annual and Special Gifts</v>
          </cell>
          <cell r="E292">
            <v>731.21</v>
          </cell>
          <cell r="F292">
            <v>0</v>
          </cell>
          <cell r="G292">
            <v>11142.1</v>
          </cell>
        </row>
        <row r="293">
          <cell r="C293" t="str">
            <v>50300601UG</v>
          </cell>
          <cell r="D293" t="str">
            <v>Annual and Special Gifts</v>
          </cell>
          <cell r="E293">
            <v>275</v>
          </cell>
          <cell r="F293">
            <v>0</v>
          </cell>
          <cell r="G293">
            <v>380.2</v>
          </cell>
        </row>
        <row r="294">
          <cell r="C294" t="str">
            <v>50450000UG</v>
          </cell>
          <cell r="D294" t="str">
            <v>Publications</v>
          </cell>
          <cell r="E294">
            <v>1341.68</v>
          </cell>
          <cell r="F294">
            <v>0</v>
          </cell>
          <cell r="G294">
            <v>4577.63</v>
          </cell>
        </row>
        <row r="295">
          <cell r="C295" t="str">
            <v>50500602UG</v>
          </cell>
          <cell r="D295" t="str">
            <v>Tributes Expense</v>
          </cell>
          <cell r="E295">
            <v>33.880000000000003</v>
          </cell>
          <cell r="F295">
            <v>0</v>
          </cell>
          <cell r="G295">
            <v>132.84</v>
          </cell>
        </row>
        <row r="296">
          <cell r="C296" t="str">
            <v>50600609UG</v>
          </cell>
          <cell r="D296" t="str">
            <v>Annual Recognition Dinner</v>
          </cell>
          <cell r="E296">
            <v>20856.47</v>
          </cell>
          <cell r="F296">
            <v>0</v>
          </cell>
          <cell r="G296">
            <v>24116.799999999999</v>
          </cell>
        </row>
        <row r="297">
          <cell r="C297" t="str">
            <v>50700000UG</v>
          </cell>
          <cell r="D297" t="str">
            <v>Electronic Mail Appeals</v>
          </cell>
          <cell r="E297">
            <v>149.09</v>
          </cell>
          <cell r="F297">
            <v>0</v>
          </cell>
          <cell r="G297">
            <v>149.09</v>
          </cell>
        </row>
        <row r="298">
          <cell r="C298" t="str">
            <v>51000000UG</v>
          </cell>
          <cell r="D298" t="str">
            <v>Salaries/Fulltime</v>
          </cell>
          <cell r="E298">
            <v>31479.74</v>
          </cell>
          <cell r="F298">
            <v>0</v>
          </cell>
          <cell r="G298">
            <v>107929.92</v>
          </cell>
        </row>
        <row r="299">
          <cell r="C299" t="str">
            <v>51050000UG</v>
          </cell>
          <cell r="D299" t="str">
            <v>Employee Benefits</v>
          </cell>
          <cell r="E299">
            <v>7936.5</v>
          </cell>
          <cell r="F299">
            <v>0</v>
          </cell>
          <cell r="G299">
            <v>23705.11</v>
          </cell>
        </row>
        <row r="300">
          <cell r="C300" t="str">
            <v>51100000UG</v>
          </cell>
          <cell r="D300" t="str">
            <v>Temporary personnel</v>
          </cell>
          <cell r="E300">
            <v>249.8</v>
          </cell>
          <cell r="F300">
            <v>0</v>
          </cell>
          <cell r="G300">
            <v>602.02</v>
          </cell>
        </row>
        <row r="301">
          <cell r="C301" t="str">
            <v>52100000UG</v>
          </cell>
          <cell r="D301" t="str">
            <v>Annual Audit &amp; Tax preparation</v>
          </cell>
          <cell r="E301">
            <v>0</v>
          </cell>
          <cell r="F301">
            <v>0</v>
          </cell>
          <cell r="G301">
            <v>5000</v>
          </cell>
        </row>
        <row r="302">
          <cell r="C302" t="str">
            <v>52200000UG</v>
          </cell>
          <cell r="D302" t="str">
            <v>Equipment Expense</v>
          </cell>
          <cell r="E302">
            <v>5129.1400000000003</v>
          </cell>
          <cell r="F302">
            <v>0</v>
          </cell>
          <cell r="G302">
            <v>5453.65</v>
          </cell>
        </row>
        <row r="303">
          <cell r="C303" t="str">
            <v>52300000UG</v>
          </cell>
          <cell r="D303" t="str">
            <v>Advertising/Public Relations</v>
          </cell>
          <cell r="E303">
            <v>400</v>
          </cell>
          <cell r="F303">
            <v>0</v>
          </cell>
          <cell r="G303">
            <v>2311.86</v>
          </cell>
        </row>
        <row r="304">
          <cell r="C304" t="str">
            <v>52350000UG</v>
          </cell>
          <cell r="D304" t="str">
            <v>Meetings &amp; Conference</v>
          </cell>
          <cell r="E304">
            <v>1122.19</v>
          </cell>
          <cell r="F304">
            <v>0</v>
          </cell>
          <cell r="G304">
            <v>1450.6</v>
          </cell>
        </row>
        <row r="305">
          <cell r="C305" t="str">
            <v>52400000UG</v>
          </cell>
          <cell r="D305" t="str">
            <v>Miscellaneous Exp.</v>
          </cell>
          <cell r="E305">
            <v>210.46</v>
          </cell>
          <cell r="F305">
            <v>44.45</v>
          </cell>
          <cell r="G305">
            <v>2408.48</v>
          </cell>
        </row>
        <row r="306">
          <cell r="C306" t="str">
            <v>52450000UG</v>
          </cell>
          <cell r="D306" t="str">
            <v>Office Supplies</v>
          </cell>
          <cell r="E306">
            <v>603.54999999999995</v>
          </cell>
          <cell r="F306">
            <v>0</v>
          </cell>
          <cell r="G306">
            <v>2160.37</v>
          </cell>
        </row>
        <row r="307">
          <cell r="C307" t="str">
            <v>52550000UG</v>
          </cell>
          <cell r="D307" t="str">
            <v>Postage Expense</v>
          </cell>
          <cell r="E307">
            <v>34.29</v>
          </cell>
          <cell r="F307">
            <v>0</v>
          </cell>
          <cell r="G307">
            <v>1483.63</v>
          </cell>
        </row>
        <row r="308">
          <cell r="C308" t="str">
            <v>52600000UG</v>
          </cell>
          <cell r="D308" t="str">
            <v>Stationary, Printing &amp; Photoco</v>
          </cell>
          <cell r="E308">
            <v>4001.24</v>
          </cell>
          <cell r="F308">
            <v>0</v>
          </cell>
          <cell r="G308">
            <v>4746.6400000000003</v>
          </cell>
        </row>
        <row r="309">
          <cell r="C309" t="str">
            <v>52650000UG</v>
          </cell>
          <cell r="D309" t="str">
            <v>Telephone Expenses</v>
          </cell>
          <cell r="E309">
            <v>1093.54</v>
          </cell>
          <cell r="F309">
            <v>0</v>
          </cell>
          <cell r="G309">
            <v>3266.34</v>
          </cell>
        </row>
        <row r="310">
          <cell r="C310" t="str">
            <v>60000000TO</v>
          </cell>
          <cell r="D310" t="str">
            <v>Seed Grants / Fellowships</v>
          </cell>
          <cell r="E310">
            <v>0</v>
          </cell>
          <cell r="F310">
            <v>0</v>
          </cell>
          <cell r="G310">
            <v>120000</v>
          </cell>
        </row>
        <row r="311">
          <cell r="C311" t="str">
            <v>60100251TO</v>
          </cell>
          <cell r="D311" t="str">
            <v>Grant Refunds</v>
          </cell>
          <cell r="E311">
            <v>0</v>
          </cell>
          <cell r="F311">
            <v>630.65</v>
          </cell>
          <cell r="G311">
            <v>-11030.67</v>
          </cell>
        </row>
        <row r="312">
          <cell r="C312" t="str">
            <v>60500217TO</v>
          </cell>
          <cell r="D312" t="str">
            <v>Programmatic Initiatives</v>
          </cell>
          <cell r="E312">
            <v>0</v>
          </cell>
          <cell r="F312">
            <v>0</v>
          </cell>
          <cell r="G312">
            <v>100000</v>
          </cell>
        </row>
        <row r="313">
          <cell r="C313" t="str">
            <v>60500239TO</v>
          </cell>
          <cell r="D313" t="str">
            <v>Programmatic Initiatives</v>
          </cell>
          <cell r="E313">
            <v>150000</v>
          </cell>
          <cell r="F313">
            <v>0</v>
          </cell>
          <cell r="G313">
            <v>150000</v>
          </cell>
        </row>
        <row r="314">
          <cell r="C314" t="str">
            <v>61000218TO</v>
          </cell>
          <cell r="D314" t="str">
            <v>Other Grants - Expense</v>
          </cell>
          <cell r="E314">
            <v>99644.5</v>
          </cell>
          <cell r="F314">
            <v>0</v>
          </cell>
          <cell r="G314">
            <v>261644.5</v>
          </cell>
        </row>
        <row r="315">
          <cell r="C315" t="str">
            <v>61000243TO</v>
          </cell>
          <cell r="D315" t="str">
            <v>Other Grants - Expense</v>
          </cell>
          <cell r="E315">
            <v>0</v>
          </cell>
          <cell r="F315">
            <v>0</v>
          </cell>
          <cell r="G315">
            <v>5725.07</v>
          </cell>
        </row>
        <row r="316">
          <cell r="C316" t="str">
            <v>61000710TO</v>
          </cell>
          <cell r="D316" t="str">
            <v>Other Grants - Expense</v>
          </cell>
          <cell r="E316">
            <v>0</v>
          </cell>
          <cell r="F316">
            <v>0</v>
          </cell>
          <cell r="G316">
            <v>23800</v>
          </cell>
        </row>
        <row r="317">
          <cell r="C317" t="str">
            <v>61000801TO</v>
          </cell>
          <cell r="D317" t="str">
            <v>Other Grants - Expense</v>
          </cell>
          <cell r="E317">
            <v>0</v>
          </cell>
          <cell r="F317">
            <v>0</v>
          </cell>
          <cell r="G317">
            <v>150000</v>
          </cell>
        </row>
        <row r="318">
          <cell r="C318" t="str">
            <v>70000000UG</v>
          </cell>
          <cell r="D318" t="str">
            <v>Unrealized gain / loss</v>
          </cell>
          <cell r="E318">
            <v>54274.2</v>
          </cell>
          <cell r="F318">
            <v>0</v>
          </cell>
          <cell r="G318">
            <v>-72791.64</v>
          </cell>
        </row>
        <row r="319">
          <cell r="C319" t="str">
            <v>71000000UG</v>
          </cell>
          <cell r="D319" t="str">
            <v>Realized gain / loss</v>
          </cell>
          <cell r="E319">
            <v>1859.8</v>
          </cell>
          <cell r="F319">
            <v>12576.68</v>
          </cell>
          <cell r="G319">
            <v>72100.259999999995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Y 15SchB"/>
      <sheetName val="FY15 SchC"/>
      <sheetName val="FY15 SchD"/>
      <sheetName val="FY15combine"/>
      <sheetName val="FY15 combine (2)"/>
      <sheetName val="Transfer 15"/>
      <sheetName val="Salaries 15"/>
      <sheetName val="New codes FY15"/>
      <sheetName val="Key"/>
      <sheetName val="KeyB"/>
      <sheetName val="new arc 15"/>
      <sheetName val="Instruction"/>
      <sheetName val="Sheet1"/>
      <sheetName val="FY1519 JL "/>
      <sheetName val="CDW - ARC 19JL"/>
      <sheetName val="fy15 Key Worksheet"/>
      <sheetName val="Combine-orig 15"/>
      <sheetName val="RAW Transfer 15"/>
      <sheetName val="FY15 Raw Expense"/>
      <sheetName val="RAW Salaries 15"/>
      <sheetName val="FY 17 Sch B"/>
      <sheetName val="FY17 SchC"/>
      <sheetName val="FY17 SchD"/>
      <sheetName val="FY17 New ARCs JJ"/>
      <sheetName val="FY17combine"/>
      <sheetName val="FY17 Raw Expense"/>
      <sheetName val="FY1719 JL"/>
      <sheetName val="FY1619 JL "/>
      <sheetName val="All ARC Codes"/>
      <sheetName val="Raw FY16 Salaries"/>
      <sheetName val="Raw FY17 Salaries"/>
      <sheetName val="Raw Transfer FY16"/>
      <sheetName val="Transfer 16"/>
      <sheetName val="Salaries 17"/>
      <sheetName val="Transfer 17"/>
      <sheetName val="All ARC Codes FY17"/>
      <sheetName val="Instruc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D2" t="str">
            <v>40</v>
          </cell>
          <cell r="E2" t="str">
            <v>INSTRUCTION</v>
          </cell>
        </row>
        <row r="3">
          <cell r="D3" t="str">
            <v>44</v>
          </cell>
          <cell r="E3" t="str">
            <v>RESEARCH</v>
          </cell>
        </row>
        <row r="4">
          <cell r="D4" t="str">
            <v>62</v>
          </cell>
          <cell r="E4" t="str">
            <v>PUBLIC SERVICE</v>
          </cell>
        </row>
        <row r="5">
          <cell r="D5" t="str">
            <v>43</v>
          </cell>
          <cell r="E5" t="str">
            <v>ACADEMIC SUPPORT</v>
          </cell>
        </row>
        <row r="6">
          <cell r="D6" t="str">
            <v>42</v>
          </cell>
          <cell r="E6" t="str">
            <v>TEACHING HOSPITALS</v>
          </cell>
        </row>
        <row r="7">
          <cell r="D7" t="str">
            <v>68</v>
          </cell>
          <cell r="E7" t="str">
            <v>STUDENT SERVICES</v>
          </cell>
        </row>
        <row r="8">
          <cell r="D8" t="str">
            <v>72</v>
          </cell>
          <cell r="E8" t="str">
            <v>INSTITUTIONAL SUPPORT</v>
          </cell>
        </row>
        <row r="9">
          <cell r="D9" t="str">
            <v>64</v>
          </cell>
          <cell r="E9" t="str">
            <v>MAINT &amp; OPERATION OF PHYSICAL PLANT</v>
          </cell>
        </row>
        <row r="10">
          <cell r="D10" t="str">
            <v>78</v>
          </cell>
          <cell r="E10" t="str">
            <v>STUDENT FINANCIAL AID</v>
          </cell>
        </row>
        <row r="11">
          <cell r="D11" t="str">
            <v>76</v>
          </cell>
          <cell r="E11" t="str">
            <v>AUXILIARY ENTERPRISES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K"/>
      <sheetName val="CFRX3221-BK"/>
    </sheetNames>
    <sheetDataSet>
      <sheetData sheetId="0"/>
      <sheetData sheetId="1">
        <row r="74">
          <cell r="B74">
            <v>577182</v>
          </cell>
          <cell r="N74">
            <v>2379435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44982-8E99-074C-B9FF-70310E7999C0}">
  <dimension ref="A1:S968"/>
  <sheetViews>
    <sheetView tabSelected="1" zoomScale="145" zoomScaleNormal="145" zoomScaleSheetLayoutView="50" workbookViewId="0">
      <selection activeCell="H15" sqref="H15"/>
    </sheetView>
  </sheetViews>
  <sheetFormatPr baseColWidth="10" defaultColWidth="11.6640625" defaultRowHeight="13" x14ac:dyDescent="0.15"/>
  <cols>
    <col min="1" max="4" width="1.6640625" style="53" customWidth="1"/>
    <col min="5" max="5" width="29" style="52" bestFit="1" customWidth="1"/>
    <col min="6" max="6" width="11.5" style="75" bestFit="1" customWidth="1"/>
    <col min="7" max="7" width="1.1640625" style="86" customWidth="1"/>
    <col min="8" max="8" width="10.1640625" style="86" bestFit="1" customWidth="1"/>
    <col min="9" max="9" width="1.1640625" style="86" customWidth="1"/>
    <col min="10" max="10" width="11.5" style="86" customWidth="1"/>
    <col min="11" max="11" width="1.1640625" style="86" customWidth="1"/>
    <col min="12" max="12" width="11" style="86" bestFit="1" customWidth="1"/>
    <col min="13" max="13" width="1.1640625" style="86" customWidth="1"/>
    <col min="14" max="14" width="13.83203125" style="86" customWidth="1"/>
    <col min="15" max="15" width="1.1640625" style="86" customWidth="1"/>
    <col min="16" max="16" width="11.33203125" style="86" customWidth="1"/>
    <col min="17" max="17" width="1.1640625" style="86" customWidth="1"/>
    <col min="18" max="18" width="9.6640625" style="86" customWidth="1"/>
    <col min="19" max="19" width="16.6640625" style="86" hidden="1" customWidth="1"/>
    <col min="20" max="16384" width="11.6640625" style="86"/>
  </cols>
  <sheetData>
    <row r="1" spans="1:19" s="69" customFormat="1" ht="21.75" customHeight="1" x14ac:dyDescent="0.15">
      <c r="A1" s="64"/>
      <c r="B1" s="64"/>
      <c r="C1" s="64"/>
      <c r="D1" s="64"/>
      <c r="E1" s="63"/>
      <c r="F1" s="65"/>
      <c r="G1" s="66"/>
      <c r="H1" s="67" t="s">
        <v>0</v>
      </c>
      <c r="I1" s="67"/>
      <c r="J1" s="68"/>
      <c r="K1" s="67"/>
      <c r="L1" s="67"/>
      <c r="M1" s="66"/>
      <c r="N1" s="67" t="s">
        <v>1</v>
      </c>
      <c r="O1" s="67"/>
      <c r="P1" s="68"/>
      <c r="Q1" s="67"/>
      <c r="R1" s="67"/>
    </row>
    <row r="2" spans="1:19" s="71" customFormat="1" ht="32" customHeight="1" x14ac:dyDescent="0.15">
      <c r="A2" s="60"/>
      <c r="B2" s="60"/>
      <c r="C2" s="60"/>
      <c r="D2" s="60"/>
      <c r="E2" s="59"/>
      <c r="F2" s="70" t="s">
        <v>3</v>
      </c>
      <c r="H2" s="72" t="s">
        <v>4</v>
      </c>
      <c r="I2" s="72"/>
      <c r="J2" s="72"/>
      <c r="K2" s="73"/>
      <c r="L2" s="74" t="s">
        <v>5</v>
      </c>
      <c r="M2" s="73"/>
      <c r="N2" s="74" t="s">
        <v>6</v>
      </c>
      <c r="O2" s="73"/>
      <c r="P2" s="74" t="s">
        <v>7</v>
      </c>
      <c r="Q2" s="73"/>
      <c r="R2" s="74" t="s">
        <v>8</v>
      </c>
    </row>
    <row r="3" spans="1:19" s="69" customFormat="1" ht="21.5" customHeight="1" x14ac:dyDescent="0.15">
      <c r="A3" s="53"/>
      <c r="B3" s="53"/>
      <c r="C3" s="53"/>
      <c r="D3" s="53"/>
      <c r="E3" s="53"/>
      <c r="F3" s="53"/>
      <c r="G3" s="53"/>
      <c r="H3" s="76" t="s">
        <v>9</v>
      </c>
      <c r="I3" s="53"/>
      <c r="J3" s="76" t="s">
        <v>10</v>
      </c>
      <c r="K3" s="53"/>
      <c r="L3" s="53"/>
      <c r="M3" s="53"/>
      <c r="N3" s="53"/>
      <c r="O3" s="53"/>
      <c r="P3" s="53"/>
      <c r="Q3" s="53"/>
      <c r="R3" s="53"/>
      <c r="S3" s="53"/>
    </row>
    <row r="4" spans="1:19" ht="12.75" customHeight="1" x14ac:dyDescent="0.3">
      <c r="A4" s="79" t="s">
        <v>11</v>
      </c>
      <c r="B4" s="80"/>
      <c r="C4" s="80"/>
      <c r="D4" s="80"/>
      <c r="E4" s="81"/>
      <c r="F4" s="82"/>
      <c r="G4" s="83"/>
      <c r="H4" s="84"/>
      <c r="I4" s="85"/>
      <c r="J4" s="84"/>
      <c r="K4" s="85"/>
      <c r="L4" s="84"/>
      <c r="M4" s="85"/>
      <c r="N4" s="85"/>
      <c r="O4" s="85"/>
      <c r="P4" s="85"/>
      <c r="Q4" s="85"/>
    </row>
    <row r="5" spans="1:19" ht="12.75" customHeight="1" x14ac:dyDescent="0.3">
      <c r="A5" s="79"/>
      <c r="B5" s="79" t="s">
        <v>12</v>
      </c>
      <c r="C5" s="80"/>
      <c r="D5" s="80"/>
      <c r="E5" s="81"/>
      <c r="F5" s="82"/>
      <c r="G5" s="83"/>
      <c r="H5" s="84"/>
      <c r="I5" s="85"/>
      <c r="J5" s="84"/>
      <c r="K5" s="85"/>
      <c r="L5" s="84"/>
      <c r="M5" s="85"/>
      <c r="N5" s="85"/>
      <c r="O5" s="85"/>
      <c r="P5" s="85"/>
      <c r="Q5" s="85"/>
    </row>
    <row r="6" spans="1:19" ht="12.75" customHeight="1" x14ac:dyDescent="0.15">
      <c r="A6" s="52"/>
      <c r="B6" s="87"/>
      <c r="C6" s="87"/>
      <c r="D6" s="87"/>
      <c r="E6" s="88"/>
      <c r="G6" s="83"/>
      <c r="H6" s="83"/>
      <c r="I6" s="89"/>
      <c r="J6" s="83"/>
      <c r="K6" s="89"/>
      <c r="L6" s="83"/>
      <c r="M6" s="89"/>
      <c r="N6" s="89"/>
      <c r="O6" s="89"/>
      <c r="P6" s="89"/>
      <c r="Q6" s="89"/>
    </row>
    <row r="7" spans="1:19" ht="16.5" customHeight="1" x14ac:dyDescent="0.15">
      <c r="A7" s="87"/>
      <c r="B7" s="52" t="s">
        <v>13</v>
      </c>
      <c r="C7" s="88"/>
      <c r="D7" s="88"/>
      <c r="G7" s="83"/>
      <c r="H7" s="83"/>
      <c r="I7" s="89"/>
      <c r="J7" s="83"/>
      <c r="K7" s="89"/>
      <c r="L7" s="90"/>
      <c r="M7" s="89"/>
      <c r="N7" s="89"/>
      <c r="O7" s="89"/>
      <c r="P7" s="89"/>
      <c r="Q7" s="89"/>
    </row>
    <row r="8" spans="1:19" x14ac:dyDescent="0.15">
      <c r="A8" s="88"/>
      <c r="B8" s="88"/>
      <c r="C8" s="52" t="s">
        <v>14</v>
      </c>
      <c r="D8" s="52"/>
      <c r="E8" s="91"/>
      <c r="F8" s="46">
        <f t="shared" ref="F8:F13" si="0">SUM(H8:L8)</f>
        <v>101000</v>
      </c>
      <c r="G8" s="92"/>
      <c r="H8" s="46">
        <v>9000</v>
      </c>
      <c r="I8" s="93"/>
      <c r="J8" s="46">
        <v>3000</v>
      </c>
      <c r="K8" s="93"/>
      <c r="L8" s="46">
        <v>89000</v>
      </c>
      <c r="M8" s="93"/>
      <c r="N8" s="46">
        <v>66000</v>
      </c>
      <c r="O8" s="93"/>
      <c r="P8" s="46">
        <v>35000</v>
      </c>
      <c r="Q8" s="93"/>
      <c r="R8" s="46">
        <v>0</v>
      </c>
      <c r="S8" s="86">
        <f t="shared" ref="S8:S71" si="1">+F8-N8-P8+R8</f>
        <v>0</v>
      </c>
    </row>
    <row r="9" spans="1:19" x14ac:dyDescent="0.15">
      <c r="A9" s="88"/>
      <c r="B9" s="88"/>
      <c r="C9" s="52" t="s">
        <v>16</v>
      </c>
      <c r="D9" s="52"/>
      <c r="E9" s="91"/>
      <c r="F9" s="75">
        <f t="shared" si="0"/>
        <v>183000</v>
      </c>
      <c r="G9" s="92"/>
      <c r="H9" s="90">
        <v>56000</v>
      </c>
      <c r="I9" s="93"/>
      <c r="J9" s="90">
        <v>15000</v>
      </c>
      <c r="K9" s="93"/>
      <c r="L9" s="90">
        <v>112000</v>
      </c>
      <c r="M9" s="93"/>
      <c r="N9" s="90">
        <v>54000</v>
      </c>
      <c r="O9" s="93"/>
      <c r="P9" s="90">
        <v>129000</v>
      </c>
      <c r="Q9" s="93"/>
      <c r="R9" s="90">
        <v>0</v>
      </c>
      <c r="S9" s="86">
        <f t="shared" si="1"/>
        <v>0</v>
      </c>
    </row>
    <row r="10" spans="1:19" x14ac:dyDescent="0.15">
      <c r="A10" s="88"/>
      <c r="B10" s="88"/>
      <c r="C10" s="52" t="s">
        <v>17</v>
      </c>
      <c r="D10" s="52"/>
      <c r="E10" s="91"/>
      <c r="F10" s="75">
        <f t="shared" si="0"/>
        <v>68000</v>
      </c>
      <c r="G10" s="92"/>
      <c r="H10" s="90">
        <v>23000</v>
      </c>
      <c r="I10" s="93"/>
      <c r="J10" s="90">
        <v>24000</v>
      </c>
      <c r="K10" s="93"/>
      <c r="L10" s="90">
        <v>21000</v>
      </c>
      <c r="M10" s="93"/>
      <c r="N10" s="90">
        <v>31000</v>
      </c>
      <c r="O10" s="93"/>
      <c r="P10" s="90">
        <v>37000</v>
      </c>
      <c r="Q10" s="93"/>
      <c r="R10" s="90">
        <v>0</v>
      </c>
      <c r="S10" s="86">
        <f t="shared" si="1"/>
        <v>0</v>
      </c>
    </row>
    <row r="11" spans="1:19" x14ac:dyDescent="0.15">
      <c r="A11" s="87"/>
      <c r="B11" s="87"/>
      <c r="C11" s="52" t="s">
        <v>18</v>
      </c>
      <c r="D11" s="52"/>
      <c r="E11" s="91"/>
      <c r="F11" s="75">
        <f t="shared" si="0"/>
        <v>23000</v>
      </c>
      <c r="G11" s="92"/>
      <c r="H11" s="90">
        <v>12000</v>
      </c>
      <c r="I11" s="93"/>
      <c r="J11" s="90">
        <v>6000</v>
      </c>
      <c r="K11" s="93"/>
      <c r="L11" s="90">
        <v>5000</v>
      </c>
      <c r="M11" s="93"/>
      <c r="N11" s="90">
        <v>11000</v>
      </c>
      <c r="O11" s="93"/>
      <c r="P11" s="90">
        <v>12000</v>
      </c>
      <c r="Q11" s="93"/>
      <c r="R11" s="90">
        <v>0</v>
      </c>
      <c r="S11" s="86">
        <f t="shared" si="1"/>
        <v>0</v>
      </c>
    </row>
    <row r="12" spans="1:19" x14ac:dyDescent="0.15">
      <c r="A12" s="87"/>
      <c r="B12" s="87"/>
      <c r="C12" s="52" t="s">
        <v>19</v>
      </c>
      <c r="D12" s="52"/>
      <c r="E12" s="91"/>
      <c r="F12" s="75">
        <f t="shared" si="0"/>
        <v>79000</v>
      </c>
      <c r="G12" s="92"/>
      <c r="H12" s="90">
        <v>6000</v>
      </c>
      <c r="I12" s="93"/>
      <c r="J12" s="90">
        <v>0</v>
      </c>
      <c r="K12" s="93"/>
      <c r="L12" s="90">
        <v>73000</v>
      </c>
      <c r="M12" s="93"/>
      <c r="N12" s="90">
        <v>59000</v>
      </c>
      <c r="O12" s="93"/>
      <c r="P12" s="90">
        <v>20000</v>
      </c>
      <c r="Q12" s="93"/>
      <c r="R12" s="90">
        <v>0</v>
      </c>
      <c r="S12" s="86">
        <f t="shared" si="1"/>
        <v>0</v>
      </c>
    </row>
    <row r="13" spans="1:19" x14ac:dyDescent="0.15">
      <c r="A13" s="87"/>
      <c r="B13" s="87"/>
      <c r="C13" s="52" t="s">
        <v>20</v>
      </c>
      <c r="D13" s="52"/>
      <c r="E13" s="91"/>
      <c r="F13" s="75">
        <f t="shared" si="0"/>
        <v>10000</v>
      </c>
      <c r="G13" s="92"/>
      <c r="H13" s="90">
        <v>1000</v>
      </c>
      <c r="I13" s="93"/>
      <c r="J13" s="90">
        <v>4000</v>
      </c>
      <c r="K13" s="93"/>
      <c r="L13" s="90">
        <v>5000</v>
      </c>
      <c r="M13" s="93"/>
      <c r="N13" s="90">
        <v>4000</v>
      </c>
      <c r="O13" s="93"/>
      <c r="P13" s="90">
        <v>6000</v>
      </c>
      <c r="Q13" s="93"/>
      <c r="R13" s="90">
        <v>0</v>
      </c>
      <c r="S13" s="86">
        <f t="shared" si="1"/>
        <v>0</v>
      </c>
    </row>
    <row r="14" spans="1:19" x14ac:dyDescent="0.15">
      <c r="A14" s="88"/>
      <c r="B14" s="88"/>
      <c r="C14" s="52" t="s">
        <v>21</v>
      </c>
      <c r="D14" s="52"/>
      <c r="E14" s="78"/>
      <c r="G14" s="69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86">
        <f t="shared" si="1"/>
        <v>0</v>
      </c>
    </row>
    <row r="15" spans="1:19" x14ac:dyDescent="0.15">
      <c r="A15" s="88"/>
      <c r="B15" s="88"/>
      <c r="C15" s="52" t="s">
        <v>22</v>
      </c>
      <c r="D15" s="52"/>
      <c r="E15" s="91" t="s">
        <v>23</v>
      </c>
      <c r="F15" s="94">
        <f>SUM(H15:L15)</f>
        <v>42000</v>
      </c>
      <c r="G15" s="69"/>
      <c r="H15" s="95">
        <v>18000</v>
      </c>
      <c r="I15" s="90"/>
      <c r="J15" s="95">
        <v>4000</v>
      </c>
      <c r="K15" s="90"/>
      <c r="L15" s="95">
        <v>20000</v>
      </c>
      <c r="M15" s="90"/>
      <c r="N15" s="95">
        <v>6000</v>
      </c>
      <c r="O15" s="90"/>
      <c r="P15" s="95">
        <v>36000</v>
      </c>
      <c r="Q15" s="90"/>
      <c r="R15" s="95">
        <v>0</v>
      </c>
      <c r="S15" s="86">
        <f t="shared" si="1"/>
        <v>0</v>
      </c>
    </row>
    <row r="16" spans="1:19" x14ac:dyDescent="0.15">
      <c r="A16" s="88"/>
      <c r="B16" s="88"/>
      <c r="C16" s="52"/>
      <c r="D16" s="52"/>
      <c r="G16" s="69"/>
      <c r="H16" s="96"/>
      <c r="I16" s="96"/>
      <c r="J16" s="69"/>
      <c r="K16" s="96"/>
      <c r="L16" s="96"/>
      <c r="M16" s="96"/>
      <c r="N16" s="96"/>
      <c r="O16" s="96"/>
      <c r="P16" s="96"/>
      <c r="Q16" s="96"/>
      <c r="R16" s="69"/>
      <c r="S16" s="86">
        <f t="shared" si="1"/>
        <v>0</v>
      </c>
    </row>
    <row r="17" spans="1:19" x14ac:dyDescent="0.15">
      <c r="A17" s="88"/>
      <c r="B17" s="88"/>
      <c r="C17" s="52"/>
      <c r="D17" s="52"/>
      <c r="E17" s="52" t="s">
        <v>3</v>
      </c>
      <c r="F17" s="94">
        <f>SUM(H17:L17)</f>
        <v>506000</v>
      </c>
      <c r="G17" s="69"/>
      <c r="H17" s="94">
        <f>SUM(H8:H15)</f>
        <v>125000</v>
      </c>
      <c r="I17" s="75"/>
      <c r="J17" s="94">
        <f>SUM(J8:J15)</f>
        <v>56000</v>
      </c>
      <c r="K17" s="75"/>
      <c r="L17" s="94">
        <f>SUM(L8:L15)</f>
        <v>325000</v>
      </c>
      <c r="M17" s="75"/>
      <c r="N17" s="94">
        <f>SUM(N8:N15)</f>
        <v>231000</v>
      </c>
      <c r="O17" s="75"/>
      <c r="P17" s="94">
        <f>SUM(P8:P15)</f>
        <v>275000</v>
      </c>
      <c r="Q17" s="75"/>
      <c r="R17" s="94">
        <f>SUM(R8:R15)</f>
        <v>0</v>
      </c>
      <c r="S17" s="86">
        <f t="shared" si="1"/>
        <v>0</v>
      </c>
    </row>
    <row r="18" spans="1:19" x14ac:dyDescent="0.15"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86">
        <f t="shared" si="1"/>
        <v>0</v>
      </c>
    </row>
    <row r="19" spans="1:19" ht="16.5" customHeight="1" x14ac:dyDescent="0.15">
      <c r="B19" s="53" t="s">
        <v>24</v>
      </c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86">
        <f t="shared" si="1"/>
        <v>0</v>
      </c>
    </row>
    <row r="20" spans="1:19" x14ac:dyDescent="0.15">
      <c r="C20" s="52" t="s">
        <v>14</v>
      </c>
      <c r="D20" s="52"/>
      <c r="E20" s="91"/>
      <c r="F20" s="75">
        <f t="shared" ref="F20:F27" si="2">SUM(H20:L20)</f>
        <v>4048000</v>
      </c>
      <c r="G20" s="92"/>
      <c r="H20" s="90">
        <v>3122000</v>
      </c>
      <c r="I20" s="93"/>
      <c r="J20" s="90">
        <f>28000-1000</f>
        <v>27000</v>
      </c>
      <c r="K20" s="93"/>
      <c r="L20" s="90">
        <f>898000+1000</f>
        <v>899000</v>
      </c>
      <c r="M20" s="93"/>
      <c r="N20" s="90">
        <v>2759000</v>
      </c>
      <c r="O20" s="93"/>
      <c r="P20" s="90">
        <f>1290000-1000</f>
        <v>1289000</v>
      </c>
      <c r="Q20" s="93"/>
      <c r="R20" s="90">
        <v>0</v>
      </c>
      <c r="S20" s="86">
        <f t="shared" si="1"/>
        <v>0</v>
      </c>
    </row>
    <row r="21" spans="1:19" x14ac:dyDescent="0.15">
      <c r="C21" s="52" t="s">
        <v>15</v>
      </c>
      <c r="D21" s="52"/>
      <c r="E21" s="91"/>
      <c r="F21" s="75">
        <f t="shared" si="2"/>
        <v>4290000</v>
      </c>
      <c r="G21" s="92"/>
      <c r="H21" s="90">
        <v>925000</v>
      </c>
      <c r="I21" s="93"/>
      <c r="J21" s="90">
        <v>228000</v>
      </c>
      <c r="K21" s="93"/>
      <c r="L21" s="90">
        <v>3137000</v>
      </c>
      <c r="M21" s="93"/>
      <c r="N21" s="90">
        <v>2659000</v>
      </c>
      <c r="O21" s="93"/>
      <c r="P21" s="90">
        <v>1906000</v>
      </c>
      <c r="Q21" s="93"/>
      <c r="R21" s="90">
        <v>275000</v>
      </c>
      <c r="S21" s="86">
        <f t="shared" si="1"/>
        <v>0</v>
      </c>
    </row>
    <row r="22" spans="1:19" x14ac:dyDescent="0.15">
      <c r="C22" s="52" t="s">
        <v>16</v>
      </c>
      <c r="D22" s="52"/>
      <c r="E22" s="91"/>
      <c r="F22" s="75">
        <f t="shared" si="2"/>
        <v>7861000</v>
      </c>
      <c r="G22" s="92"/>
      <c r="H22" s="90">
        <v>2818000</v>
      </c>
      <c r="I22" s="93"/>
      <c r="J22" s="90">
        <v>154000</v>
      </c>
      <c r="K22" s="93"/>
      <c r="L22" s="90">
        <v>4889000</v>
      </c>
      <c r="M22" s="93"/>
      <c r="N22" s="90">
        <v>4592000</v>
      </c>
      <c r="O22" s="93"/>
      <c r="P22" s="90">
        <v>3284000</v>
      </c>
      <c r="Q22" s="93"/>
      <c r="R22" s="90">
        <v>15000</v>
      </c>
      <c r="S22" s="86">
        <f t="shared" si="1"/>
        <v>0</v>
      </c>
    </row>
    <row r="23" spans="1:19" x14ac:dyDescent="0.15">
      <c r="C23" s="52" t="s">
        <v>25</v>
      </c>
      <c r="D23" s="52"/>
      <c r="E23" s="91"/>
      <c r="F23" s="75">
        <f t="shared" si="2"/>
        <v>1241000</v>
      </c>
      <c r="G23" s="92"/>
      <c r="H23" s="90">
        <v>141000</v>
      </c>
      <c r="I23" s="93"/>
      <c r="J23" s="90">
        <v>404000</v>
      </c>
      <c r="K23" s="93"/>
      <c r="L23" s="90">
        <v>696000</v>
      </c>
      <c r="M23" s="93"/>
      <c r="N23" s="90">
        <v>724000</v>
      </c>
      <c r="O23" s="93"/>
      <c r="P23" s="90">
        <v>518000</v>
      </c>
      <c r="Q23" s="93"/>
      <c r="R23" s="90">
        <v>1000</v>
      </c>
      <c r="S23" s="86">
        <f t="shared" si="1"/>
        <v>0</v>
      </c>
    </row>
    <row r="24" spans="1:19" x14ac:dyDescent="0.15">
      <c r="C24" s="52" t="s">
        <v>17</v>
      </c>
      <c r="D24" s="52"/>
      <c r="E24" s="91"/>
      <c r="F24" s="75">
        <f t="shared" si="2"/>
        <v>4589000</v>
      </c>
      <c r="G24" s="92"/>
      <c r="H24" s="90">
        <v>2555000</v>
      </c>
      <c r="I24" s="93"/>
      <c r="J24" s="90">
        <v>87000</v>
      </c>
      <c r="K24" s="93"/>
      <c r="L24" s="90">
        <f>1946000+1000</f>
        <v>1947000</v>
      </c>
      <c r="M24" s="93"/>
      <c r="N24" s="90">
        <v>3001000</v>
      </c>
      <c r="O24" s="93"/>
      <c r="P24" s="90">
        <f>1587000+1000</f>
        <v>1588000</v>
      </c>
      <c r="Q24" s="93"/>
      <c r="R24" s="90">
        <v>0</v>
      </c>
      <c r="S24" s="86">
        <f t="shared" si="1"/>
        <v>0</v>
      </c>
    </row>
    <row r="25" spans="1:19" x14ac:dyDescent="0.15">
      <c r="C25" s="52" t="s">
        <v>18</v>
      </c>
      <c r="D25" s="52"/>
      <c r="E25" s="91"/>
      <c r="F25" s="75">
        <f t="shared" si="2"/>
        <v>4601000</v>
      </c>
      <c r="G25" s="92"/>
      <c r="H25" s="90">
        <v>1453000</v>
      </c>
      <c r="I25" s="93"/>
      <c r="J25" s="90">
        <v>33000</v>
      </c>
      <c r="K25" s="93"/>
      <c r="L25" s="90">
        <f>3116000-1000</f>
        <v>3115000</v>
      </c>
      <c r="M25" s="93"/>
      <c r="N25" s="90">
        <v>2614000</v>
      </c>
      <c r="O25" s="93"/>
      <c r="P25" s="90">
        <v>1987000</v>
      </c>
      <c r="Q25" s="93"/>
      <c r="R25" s="90">
        <v>0</v>
      </c>
      <c r="S25" s="86">
        <f t="shared" si="1"/>
        <v>0</v>
      </c>
    </row>
    <row r="26" spans="1:19" x14ac:dyDescent="0.15">
      <c r="C26" s="52" t="s">
        <v>19</v>
      </c>
      <c r="D26" s="52"/>
      <c r="E26" s="91"/>
      <c r="F26" s="75">
        <f t="shared" si="2"/>
        <v>6089000</v>
      </c>
      <c r="G26" s="92"/>
      <c r="H26" s="90">
        <v>1445000</v>
      </c>
      <c r="I26" s="93"/>
      <c r="J26" s="90">
        <v>294000</v>
      </c>
      <c r="K26" s="93"/>
      <c r="L26" s="90">
        <v>4350000</v>
      </c>
      <c r="M26" s="93"/>
      <c r="N26" s="90">
        <v>2403000</v>
      </c>
      <c r="O26" s="93"/>
      <c r="P26" s="90">
        <v>3686000</v>
      </c>
      <c r="Q26" s="93"/>
      <c r="R26" s="90">
        <v>0</v>
      </c>
      <c r="S26" s="86">
        <f t="shared" si="1"/>
        <v>0</v>
      </c>
    </row>
    <row r="27" spans="1:19" x14ac:dyDescent="0.15">
      <c r="C27" s="52" t="s">
        <v>20</v>
      </c>
      <c r="D27" s="52"/>
      <c r="E27" s="91"/>
      <c r="F27" s="75">
        <f t="shared" si="2"/>
        <v>7259000</v>
      </c>
      <c r="G27" s="92"/>
      <c r="H27" s="90">
        <v>2640000</v>
      </c>
      <c r="I27" s="93"/>
      <c r="J27" s="90">
        <v>78000</v>
      </c>
      <c r="K27" s="93"/>
      <c r="L27" s="90">
        <v>4541000</v>
      </c>
      <c r="M27" s="93"/>
      <c r="N27" s="90">
        <v>4378000</v>
      </c>
      <c r="O27" s="93"/>
      <c r="P27" s="90">
        <v>2881000</v>
      </c>
      <c r="Q27" s="93"/>
      <c r="R27" s="90">
        <v>0</v>
      </c>
      <c r="S27" s="86">
        <f t="shared" si="1"/>
        <v>0</v>
      </c>
    </row>
    <row r="28" spans="1:19" x14ac:dyDescent="0.15">
      <c r="C28" s="52" t="s">
        <v>21</v>
      </c>
      <c r="D28" s="52"/>
      <c r="E28" s="78"/>
      <c r="S28" s="86">
        <f t="shared" si="1"/>
        <v>0</v>
      </c>
    </row>
    <row r="29" spans="1:19" x14ac:dyDescent="0.15">
      <c r="C29" s="52" t="s">
        <v>22</v>
      </c>
      <c r="D29" s="52"/>
      <c r="E29" s="91" t="s">
        <v>23</v>
      </c>
      <c r="F29" s="94">
        <f>SUM(H29:L29)</f>
        <v>1905000</v>
      </c>
      <c r="G29" s="69"/>
      <c r="H29" s="95">
        <v>1361000</v>
      </c>
      <c r="I29" s="90"/>
      <c r="J29" s="95">
        <v>29000</v>
      </c>
      <c r="K29" s="90"/>
      <c r="L29" s="95">
        <v>515000</v>
      </c>
      <c r="M29" s="90"/>
      <c r="N29" s="95">
        <v>1194000</v>
      </c>
      <c r="O29" s="90"/>
      <c r="P29" s="95">
        <v>711000</v>
      </c>
      <c r="Q29" s="90"/>
      <c r="R29" s="95">
        <v>0</v>
      </c>
      <c r="S29" s="86">
        <f t="shared" si="1"/>
        <v>0</v>
      </c>
    </row>
    <row r="30" spans="1:19" x14ac:dyDescent="0.15">
      <c r="C30" s="52"/>
      <c r="D30" s="52"/>
      <c r="S30" s="86">
        <f t="shared" si="1"/>
        <v>0</v>
      </c>
    </row>
    <row r="31" spans="1:19" x14ac:dyDescent="0.15">
      <c r="C31" s="52"/>
      <c r="D31" s="52"/>
      <c r="E31" s="52" t="s">
        <v>3</v>
      </c>
      <c r="F31" s="94">
        <f>SUM(F20:F29)</f>
        <v>41883000</v>
      </c>
      <c r="H31" s="94">
        <f>SUM(H20:H29)</f>
        <v>16460000</v>
      </c>
      <c r="J31" s="94">
        <f>SUM(J20:J29)</f>
        <v>1334000</v>
      </c>
      <c r="L31" s="94">
        <f>SUM(L20:L29)</f>
        <v>24089000</v>
      </c>
      <c r="N31" s="94">
        <f>SUM(N20:N29)</f>
        <v>24324000</v>
      </c>
      <c r="P31" s="94">
        <f>SUM(P20:P29)</f>
        <v>17850000</v>
      </c>
      <c r="R31" s="94">
        <f>SUM(R20:R29)</f>
        <v>291000</v>
      </c>
      <c r="S31" s="86">
        <f t="shared" si="1"/>
        <v>0</v>
      </c>
    </row>
    <row r="32" spans="1:19" x14ac:dyDescent="0.15"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86">
        <f t="shared" si="1"/>
        <v>0</v>
      </c>
    </row>
    <row r="33" spans="1:19" x14ac:dyDescent="0.15">
      <c r="A33" s="88"/>
      <c r="B33" s="88" t="s">
        <v>28</v>
      </c>
      <c r="C33" s="52"/>
      <c r="D33" s="52"/>
      <c r="E33" s="53"/>
      <c r="F33" s="94">
        <f>SUM(H33:L33)</f>
        <v>5000</v>
      </c>
      <c r="G33" s="69"/>
      <c r="H33" s="95">
        <v>0</v>
      </c>
      <c r="I33" s="90"/>
      <c r="J33" s="95">
        <v>0</v>
      </c>
      <c r="K33" s="90"/>
      <c r="L33" s="95">
        <v>5000</v>
      </c>
      <c r="M33" s="90"/>
      <c r="N33" s="95">
        <v>0</v>
      </c>
      <c r="O33" s="90"/>
      <c r="P33" s="95">
        <v>5000</v>
      </c>
      <c r="Q33" s="90"/>
      <c r="R33" s="95">
        <v>0</v>
      </c>
      <c r="S33" s="86">
        <f t="shared" si="1"/>
        <v>0</v>
      </c>
    </row>
    <row r="34" spans="1:19" x14ac:dyDescent="0.15"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86">
        <f t="shared" si="1"/>
        <v>0</v>
      </c>
    </row>
    <row r="35" spans="1:19" x14ac:dyDescent="0.15">
      <c r="A35" s="87"/>
      <c r="B35" s="87"/>
      <c r="C35" s="88"/>
      <c r="D35" s="88"/>
      <c r="E35" s="52" t="s">
        <v>30</v>
      </c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86">
        <f t="shared" si="1"/>
        <v>0</v>
      </c>
    </row>
    <row r="36" spans="1:19" x14ac:dyDescent="0.15">
      <c r="A36" s="88"/>
      <c r="B36" s="87"/>
      <c r="C36" s="88"/>
      <c r="D36" s="88"/>
      <c r="E36" s="53" t="s">
        <v>31</v>
      </c>
      <c r="F36" s="94">
        <f>F17+F31+F33</f>
        <v>42394000</v>
      </c>
      <c r="G36" s="69"/>
      <c r="H36" s="94">
        <f>H17+H31+H33</f>
        <v>16585000</v>
      </c>
      <c r="I36" s="94"/>
      <c r="J36" s="94">
        <f>J17+J31+J33</f>
        <v>1390000</v>
      </c>
      <c r="K36" s="94"/>
      <c r="L36" s="94">
        <f>L17+L31+L33</f>
        <v>24419000</v>
      </c>
      <c r="M36" s="94"/>
      <c r="N36" s="94">
        <f>N17+N31+N33</f>
        <v>24555000</v>
      </c>
      <c r="O36" s="94"/>
      <c r="P36" s="94">
        <f>P17+P31+P33</f>
        <v>18130000</v>
      </c>
      <c r="Q36" s="94"/>
      <c r="R36" s="94">
        <f>R17+R31+R33</f>
        <v>291000</v>
      </c>
      <c r="S36" s="86">
        <f t="shared" si="1"/>
        <v>0</v>
      </c>
    </row>
    <row r="37" spans="1:19" x14ac:dyDescent="0.15">
      <c r="A37" s="88"/>
      <c r="B37" s="88"/>
      <c r="C37" s="52"/>
      <c r="D37" s="52"/>
      <c r="E37" s="53"/>
      <c r="G37" s="69"/>
      <c r="H37" s="69"/>
      <c r="I37" s="96"/>
      <c r="J37" s="96"/>
      <c r="K37" s="96"/>
      <c r="L37" s="96"/>
      <c r="M37" s="96"/>
      <c r="N37" s="96"/>
      <c r="O37" s="96"/>
      <c r="P37" s="96"/>
      <c r="Q37" s="96"/>
      <c r="R37" s="69"/>
      <c r="S37" s="86">
        <f t="shared" si="1"/>
        <v>0</v>
      </c>
    </row>
    <row r="38" spans="1:19" x14ac:dyDescent="0.15">
      <c r="A38" s="97" t="s">
        <v>32</v>
      </c>
      <c r="B38" s="88"/>
      <c r="C38" s="52"/>
      <c r="D38" s="52"/>
      <c r="E38" s="53"/>
      <c r="G38" s="69"/>
      <c r="H38" s="69"/>
      <c r="I38" s="96"/>
      <c r="J38" s="96"/>
      <c r="K38" s="96"/>
      <c r="L38" s="96"/>
      <c r="M38" s="96"/>
      <c r="N38" s="96"/>
      <c r="O38" s="96"/>
      <c r="P38" s="96"/>
      <c r="Q38" s="96"/>
      <c r="R38" s="69"/>
      <c r="S38" s="86">
        <f t="shared" si="1"/>
        <v>0</v>
      </c>
    </row>
    <row r="39" spans="1:19" x14ac:dyDescent="0.15">
      <c r="A39" s="97"/>
      <c r="B39" s="97" t="s">
        <v>33</v>
      </c>
      <c r="C39" s="52"/>
      <c r="D39" s="52"/>
      <c r="E39" s="53"/>
      <c r="G39" s="69"/>
      <c r="H39" s="69"/>
      <c r="I39" s="96"/>
      <c r="J39" s="96"/>
      <c r="K39" s="96"/>
      <c r="L39" s="96"/>
      <c r="M39" s="96"/>
      <c r="N39" s="96"/>
      <c r="O39" s="96"/>
      <c r="P39" s="96"/>
      <c r="Q39" s="96"/>
      <c r="R39" s="69"/>
      <c r="S39" s="86">
        <f t="shared" si="1"/>
        <v>0</v>
      </c>
    </row>
    <row r="40" spans="1:19" x14ac:dyDescent="0.15">
      <c r="A40" s="88"/>
      <c r="B40" s="88"/>
      <c r="C40" s="52"/>
      <c r="D40" s="52"/>
      <c r="E40" s="53"/>
      <c r="G40" s="69"/>
      <c r="H40" s="69"/>
      <c r="I40" s="69"/>
      <c r="J40" s="96"/>
      <c r="K40" s="69"/>
      <c r="L40" s="96"/>
      <c r="M40" s="69"/>
      <c r="N40" s="69"/>
      <c r="O40" s="69"/>
      <c r="P40" s="69"/>
      <c r="Q40" s="69"/>
      <c r="R40" s="69"/>
      <c r="S40" s="86">
        <f t="shared" si="1"/>
        <v>0</v>
      </c>
    </row>
    <row r="41" spans="1:19" x14ac:dyDescent="0.15">
      <c r="A41" s="88"/>
      <c r="B41" s="53" t="s">
        <v>13</v>
      </c>
      <c r="C41" s="52"/>
      <c r="D41" s="52"/>
      <c r="E41" s="53"/>
      <c r="F41" s="94">
        <f>SUM(H41:L41)</f>
        <v>65087000</v>
      </c>
      <c r="G41" s="69"/>
      <c r="H41" s="95">
        <v>19626000</v>
      </c>
      <c r="I41" s="90"/>
      <c r="J41" s="95">
        <v>35356000</v>
      </c>
      <c r="K41" s="90"/>
      <c r="L41" s="95">
        <v>10105000</v>
      </c>
      <c r="M41" s="90"/>
      <c r="N41" s="95">
        <v>39735000</v>
      </c>
      <c r="O41" s="90"/>
      <c r="P41" s="95">
        <v>25433000</v>
      </c>
      <c r="Q41" s="90"/>
      <c r="R41" s="95">
        <v>81000</v>
      </c>
      <c r="S41" s="86">
        <f t="shared" si="1"/>
        <v>0</v>
      </c>
    </row>
    <row r="42" spans="1:19" x14ac:dyDescent="0.15">
      <c r="A42" s="88"/>
      <c r="C42" s="52"/>
      <c r="D42" s="52"/>
      <c r="E42" s="53"/>
      <c r="G42" s="69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86">
        <f t="shared" si="1"/>
        <v>0</v>
      </c>
    </row>
    <row r="43" spans="1:19" x14ac:dyDescent="0.15">
      <c r="A43" s="88"/>
      <c r="B43" s="88" t="s">
        <v>24</v>
      </c>
      <c r="E43" s="91"/>
      <c r="F43" s="94">
        <f>SUM(H43:L43)</f>
        <v>905000</v>
      </c>
      <c r="G43" s="69"/>
      <c r="H43" s="95">
        <v>6000</v>
      </c>
      <c r="I43" s="90"/>
      <c r="J43" s="95">
        <v>303000</v>
      </c>
      <c r="K43" s="90"/>
      <c r="L43" s="95">
        <v>596000</v>
      </c>
      <c r="M43" s="90"/>
      <c r="N43" s="95">
        <v>452000</v>
      </c>
      <c r="O43" s="90"/>
      <c r="P43" s="95">
        <v>453000</v>
      </c>
      <c r="Q43" s="90"/>
      <c r="R43" s="95">
        <v>0</v>
      </c>
      <c r="S43" s="86">
        <f t="shared" si="1"/>
        <v>0</v>
      </c>
    </row>
    <row r="44" spans="1:19" x14ac:dyDescent="0.15">
      <c r="A44" s="88"/>
      <c r="C44" s="52"/>
      <c r="D44" s="52"/>
      <c r="E44" s="53"/>
      <c r="G44" s="69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86">
        <f t="shared" si="1"/>
        <v>0</v>
      </c>
    </row>
    <row r="45" spans="1:19" x14ac:dyDescent="0.15">
      <c r="A45" s="88"/>
      <c r="B45" s="88" t="s">
        <v>28</v>
      </c>
      <c r="C45" s="52"/>
      <c r="D45" s="52"/>
      <c r="E45" s="53"/>
      <c r="F45" s="94">
        <f>SUM(H45:L45)</f>
        <v>914000</v>
      </c>
      <c r="G45" s="69"/>
      <c r="H45" s="95">
        <v>0</v>
      </c>
      <c r="I45" s="90"/>
      <c r="J45" s="95">
        <f>349000+1000</f>
        <v>350000</v>
      </c>
      <c r="K45" s="90"/>
      <c r="L45" s="95">
        <f>565000-1000</f>
        <v>564000</v>
      </c>
      <c r="M45" s="90"/>
      <c r="N45" s="95">
        <v>527000</v>
      </c>
      <c r="O45" s="90"/>
      <c r="P45" s="95">
        <v>387000</v>
      </c>
      <c r="Q45" s="90"/>
      <c r="R45" s="95">
        <v>0</v>
      </c>
      <c r="S45" s="86">
        <f t="shared" si="1"/>
        <v>0</v>
      </c>
    </row>
    <row r="46" spans="1:19" x14ac:dyDescent="0.15">
      <c r="A46" s="88"/>
      <c r="B46" s="88"/>
      <c r="C46" s="52"/>
      <c r="D46" s="52"/>
      <c r="E46" s="53"/>
      <c r="G46" s="69"/>
      <c r="H46" s="69"/>
      <c r="I46" s="96"/>
      <c r="J46" s="96"/>
      <c r="K46" s="96"/>
      <c r="L46" s="96"/>
      <c r="M46" s="96"/>
      <c r="N46" s="96"/>
      <c r="O46" s="96"/>
      <c r="P46" s="96"/>
      <c r="Q46" s="96"/>
      <c r="R46" s="69"/>
      <c r="S46" s="86">
        <f t="shared" si="1"/>
        <v>0</v>
      </c>
    </row>
    <row r="47" spans="1:19" x14ac:dyDescent="0.15">
      <c r="B47" s="88" t="s">
        <v>29</v>
      </c>
      <c r="F47" s="94">
        <f>SUM(H47:L47)</f>
        <v>19735000</v>
      </c>
      <c r="G47" s="69"/>
      <c r="H47" s="95">
        <v>2000</v>
      </c>
      <c r="I47" s="90"/>
      <c r="J47" s="95">
        <v>17229000</v>
      </c>
      <c r="K47" s="90"/>
      <c r="L47" s="95">
        <v>2504000</v>
      </c>
      <c r="M47" s="90"/>
      <c r="N47" s="95">
        <v>9925000</v>
      </c>
      <c r="O47" s="90"/>
      <c r="P47" s="95">
        <v>10336000</v>
      </c>
      <c r="Q47" s="90"/>
      <c r="R47" s="95">
        <f>525000+1000</f>
        <v>526000</v>
      </c>
      <c r="S47" s="86">
        <f t="shared" si="1"/>
        <v>0</v>
      </c>
    </row>
    <row r="48" spans="1:19" x14ac:dyDescent="0.15"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86">
        <f t="shared" si="1"/>
        <v>0</v>
      </c>
    </row>
    <row r="49" spans="1:19" x14ac:dyDescent="0.15">
      <c r="E49" s="52" t="s">
        <v>34</v>
      </c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86">
        <f t="shared" si="1"/>
        <v>0</v>
      </c>
    </row>
    <row r="50" spans="1:19" x14ac:dyDescent="0.15">
      <c r="E50" s="52" t="s">
        <v>35</v>
      </c>
      <c r="F50" s="94">
        <f>SUM(H50:L50)</f>
        <v>86641000</v>
      </c>
      <c r="G50" s="75">
        <v>0</v>
      </c>
      <c r="H50" s="94">
        <f>+H41+H43+H45+H47</f>
        <v>19634000</v>
      </c>
      <c r="I50" s="75"/>
      <c r="J50" s="94">
        <f>+J41+J43+J45+J47</f>
        <v>53238000</v>
      </c>
      <c r="K50" s="75"/>
      <c r="L50" s="94">
        <f>+L41+L43+L45+L47</f>
        <v>13769000</v>
      </c>
      <c r="M50" s="75"/>
      <c r="N50" s="94">
        <f>+N41+N43+N45+N47</f>
        <v>50639000</v>
      </c>
      <c r="O50" s="75"/>
      <c r="P50" s="94">
        <f>+P41+P43+P45+P47</f>
        <v>36609000</v>
      </c>
      <c r="Q50" s="75">
        <v>0</v>
      </c>
      <c r="R50" s="94">
        <f>+R41+R43+R45+R47</f>
        <v>607000</v>
      </c>
      <c r="S50" s="86">
        <f t="shared" si="1"/>
        <v>0</v>
      </c>
    </row>
    <row r="51" spans="1:19" x14ac:dyDescent="0.15">
      <c r="A51" s="87"/>
      <c r="B51" s="87"/>
      <c r="C51" s="88"/>
      <c r="D51" s="88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86">
        <f t="shared" si="1"/>
        <v>0</v>
      </c>
    </row>
    <row r="52" spans="1:19" x14ac:dyDescent="0.15">
      <c r="A52" s="97" t="s">
        <v>36</v>
      </c>
      <c r="B52" s="87"/>
      <c r="C52" s="88"/>
      <c r="D52" s="88"/>
      <c r="E52" s="88"/>
      <c r="G52" s="69"/>
      <c r="H52" s="69"/>
      <c r="I52" s="96"/>
      <c r="J52" s="69"/>
      <c r="K52" s="96"/>
      <c r="L52" s="69"/>
      <c r="M52" s="96"/>
      <c r="N52" s="96"/>
      <c r="O52" s="96"/>
      <c r="P52" s="96"/>
      <c r="Q52" s="96"/>
      <c r="R52" s="69"/>
      <c r="S52" s="86">
        <f t="shared" si="1"/>
        <v>0</v>
      </c>
    </row>
    <row r="53" spans="1:19" x14ac:dyDescent="0.15">
      <c r="A53" s="88"/>
      <c r="B53" s="88"/>
      <c r="C53" s="52"/>
      <c r="D53" s="52"/>
      <c r="G53" s="69"/>
      <c r="H53" s="69"/>
      <c r="I53" s="96"/>
      <c r="J53" s="96"/>
      <c r="K53" s="96"/>
      <c r="L53" s="96"/>
      <c r="M53" s="96"/>
      <c r="N53" s="96"/>
      <c r="O53" s="96"/>
      <c r="P53" s="96"/>
      <c r="Q53" s="96"/>
      <c r="R53" s="69"/>
      <c r="S53" s="86">
        <f t="shared" si="1"/>
        <v>0</v>
      </c>
    </row>
    <row r="54" spans="1:19" x14ac:dyDescent="0.15">
      <c r="A54" s="88"/>
      <c r="B54" s="88" t="s">
        <v>13</v>
      </c>
      <c r="C54" s="52"/>
      <c r="D54" s="52"/>
      <c r="G54" s="69"/>
      <c r="H54" s="69"/>
      <c r="I54" s="96"/>
      <c r="J54" s="96"/>
      <c r="K54" s="96"/>
      <c r="L54" s="96"/>
      <c r="M54" s="96"/>
      <c r="N54" s="96"/>
      <c r="O54" s="96"/>
      <c r="P54" s="96"/>
      <c r="Q54" s="96"/>
      <c r="R54" s="69"/>
      <c r="S54" s="86">
        <f t="shared" si="1"/>
        <v>0</v>
      </c>
    </row>
    <row r="55" spans="1:19" x14ac:dyDescent="0.15">
      <c r="A55" s="88"/>
      <c r="B55" s="88"/>
      <c r="C55" s="52" t="s">
        <v>37</v>
      </c>
      <c r="D55" s="52"/>
      <c r="E55" s="91"/>
      <c r="F55" s="75">
        <f>SUM(H55:L55)</f>
        <v>5857000</v>
      </c>
      <c r="G55" s="92"/>
      <c r="H55" s="90">
        <v>4891000</v>
      </c>
      <c r="I55" s="93"/>
      <c r="J55" s="90">
        <v>285000</v>
      </c>
      <c r="K55" s="93"/>
      <c r="L55" s="90">
        <v>681000</v>
      </c>
      <c r="M55" s="93"/>
      <c r="N55" s="90">
        <f>3629000-1000</f>
        <v>3628000</v>
      </c>
      <c r="O55" s="93"/>
      <c r="P55" s="90">
        <v>2229000</v>
      </c>
      <c r="Q55" s="93"/>
      <c r="R55" s="90">
        <v>0</v>
      </c>
      <c r="S55" s="86">
        <f t="shared" si="1"/>
        <v>0</v>
      </c>
    </row>
    <row r="56" spans="1:19" x14ac:dyDescent="0.15">
      <c r="A56" s="88"/>
      <c r="B56" s="88"/>
      <c r="C56" s="52" t="s">
        <v>38</v>
      </c>
      <c r="D56" s="52"/>
      <c r="E56" s="91"/>
      <c r="F56" s="75">
        <f>SUM(H56:L56)</f>
        <v>17708000</v>
      </c>
      <c r="G56" s="92"/>
      <c r="H56" s="90">
        <v>14368000</v>
      </c>
      <c r="I56" s="93"/>
      <c r="J56" s="90">
        <v>1864000</v>
      </c>
      <c r="K56" s="93"/>
      <c r="L56" s="90">
        <f>1475000+1000</f>
        <v>1476000</v>
      </c>
      <c r="M56" s="93"/>
      <c r="N56" s="90">
        <f>10806000</f>
        <v>10806000</v>
      </c>
      <c r="O56" s="93"/>
      <c r="P56" s="90">
        <v>6902000</v>
      </c>
      <c r="Q56" s="93"/>
      <c r="R56" s="90">
        <v>0</v>
      </c>
      <c r="S56" s="86">
        <f t="shared" si="1"/>
        <v>0</v>
      </c>
    </row>
    <row r="57" spans="1:19" x14ac:dyDescent="0.15">
      <c r="A57" s="88"/>
      <c r="B57" s="88"/>
      <c r="C57" s="52" t="s">
        <v>39</v>
      </c>
      <c r="D57" s="52"/>
      <c r="E57" s="91"/>
      <c r="F57" s="94">
        <f>SUM(H57:L57)</f>
        <v>8240000</v>
      </c>
      <c r="G57" s="69"/>
      <c r="H57" s="95">
        <v>6203000</v>
      </c>
      <c r="I57" s="90"/>
      <c r="J57" s="95">
        <v>647000</v>
      </c>
      <c r="K57" s="90"/>
      <c r="L57" s="95">
        <v>1390000</v>
      </c>
      <c r="M57" s="90"/>
      <c r="N57" s="95">
        <v>3945000</v>
      </c>
      <c r="O57" s="90"/>
      <c r="P57" s="95">
        <v>4295000</v>
      </c>
      <c r="Q57" s="90"/>
      <c r="R57" s="95">
        <v>0</v>
      </c>
      <c r="S57" s="86">
        <f t="shared" si="1"/>
        <v>0</v>
      </c>
    </row>
    <row r="58" spans="1:19" x14ac:dyDescent="0.15">
      <c r="A58" s="88"/>
      <c r="B58" s="88"/>
      <c r="C58" s="52"/>
      <c r="D58" s="52"/>
      <c r="G58" s="69"/>
      <c r="H58" s="69"/>
      <c r="I58" s="98"/>
      <c r="J58" s="96"/>
      <c r="K58" s="98"/>
      <c r="L58" s="96"/>
      <c r="M58" s="98"/>
      <c r="N58" s="96"/>
      <c r="O58" s="98"/>
      <c r="P58" s="98"/>
      <c r="Q58" s="98"/>
      <c r="R58" s="69"/>
      <c r="S58" s="86">
        <f t="shared" si="1"/>
        <v>0</v>
      </c>
    </row>
    <row r="59" spans="1:19" x14ac:dyDescent="0.15">
      <c r="A59" s="88"/>
      <c r="B59" s="88"/>
      <c r="C59" s="52"/>
      <c r="D59" s="52"/>
      <c r="E59" s="52" t="s">
        <v>3</v>
      </c>
      <c r="F59" s="94">
        <f>SUM(H59:L59)</f>
        <v>31805000</v>
      </c>
      <c r="G59" s="69"/>
      <c r="H59" s="94">
        <f>SUM(H55:H58)</f>
        <v>25462000</v>
      </c>
      <c r="I59" s="75"/>
      <c r="J59" s="94">
        <f>SUM(J55:J58)</f>
        <v>2796000</v>
      </c>
      <c r="K59" s="75"/>
      <c r="L59" s="94">
        <f>SUM(L55:L58)</f>
        <v>3547000</v>
      </c>
      <c r="M59" s="75"/>
      <c r="N59" s="94">
        <f>SUM(N55:N58)</f>
        <v>18379000</v>
      </c>
      <c r="O59" s="75"/>
      <c r="P59" s="94">
        <f>SUM(P55:P58)</f>
        <v>13426000</v>
      </c>
      <c r="Q59" s="75"/>
      <c r="R59" s="94">
        <f>SUM(R55:R58)</f>
        <v>0</v>
      </c>
      <c r="S59" s="86">
        <f t="shared" si="1"/>
        <v>0</v>
      </c>
    </row>
    <row r="60" spans="1:19" x14ac:dyDescent="0.15">
      <c r="A60" s="88"/>
      <c r="B60" s="88"/>
      <c r="C60" s="52"/>
      <c r="D60" s="52"/>
      <c r="G60" s="69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86">
        <f t="shared" si="1"/>
        <v>0</v>
      </c>
    </row>
    <row r="61" spans="1:19" x14ac:dyDescent="0.15">
      <c r="A61" s="88"/>
      <c r="B61" s="88" t="s">
        <v>24</v>
      </c>
      <c r="C61" s="52"/>
      <c r="D61" s="52"/>
      <c r="G61" s="69"/>
      <c r="H61" s="69"/>
      <c r="I61" s="69"/>
      <c r="J61" s="96"/>
      <c r="K61" s="69"/>
      <c r="L61" s="96"/>
      <c r="M61" s="69"/>
      <c r="N61" s="69"/>
      <c r="O61" s="69"/>
      <c r="P61" s="69"/>
      <c r="Q61" s="69"/>
      <c r="R61" s="69"/>
      <c r="S61" s="86">
        <f t="shared" si="1"/>
        <v>0</v>
      </c>
    </row>
    <row r="62" spans="1:19" x14ac:dyDescent="0.15">
      <c r="C62" s="52" t="s">
        <v>37</v>
      </c>
      <c r="D62" s="52"/>
      <c r="E62" s="91"/>
      <c r="F62" s="75">
        <f>SUM(H62:L62)</f>
        <v>5958000</v>
      </c>
      <c r="G62" s="92"/>
      <c r="H62" s="90">
        <v>103000</v>
      </c>
      <c r="I62" s="93"/>
      <c r="J62" s="90">
        <v>152000</v>
      </c>
      <c r="K62" s="93"/>
      <c r="L62" s="90">
        <v>5703000</v>
      </c>
      <c r="M62" s="93"/>
      <c r="N62" s="90">
        <v>2605000</v>
      </c>
      <c r="O62" s="93"/>
      <c r="P62" s="90">
        <v>3353000</v>
      </c>
      <c r="Q62" s="93"/>
      <c r="R62" s="90">
        <v>0</v>
      </c>
      <c r="S62" s="86">
        <f t="shared" si="1"/>
        <v>0</v>
      </c>
    </row>
    <row r="63" spans="1:19" x14ac:dyDescent="0.15">
      <c r="C63" s="52" t="s">
        <v>38</v>
      </c>
      <c r="D63" s="52"/>
      <c r="E63" s="91"/>
      <c r="F63" s="75">
        <f>SUM(H63:L63)</f>
        <v>18779000</v>
      </c>
      <c r="G63" s="92"/>
      <c r="H63" s="90">
        <v>207000</v>
      </c>
      <c r="I63" s="93"/>
      <c r="J63" s="90">
        <v>738000</v>
      </c>
      <c r="K63" s="93"/>
      <c r="L63" s="90">
        <v>17834000</v>
      </c>
      <c r="M63" s="93"/>
      <c r="N63" s="90">
        <f>8628000-1000</f>
        <v>8627000</v>
      </c>
      <c r="O63" s="93"/>
      <c r="P63" s="90">
        <v>10152000</v>
      </c>
      <c r="Q63" s="93"/>
      <c r="R63" s="90">
        <v>0</v>
      </c>
      <c r="S63" s="86">
        <f t="shared" si="1"/>
        <v>0</v>
      </c>
    </row>
    <row r="64" spans="1:19" x14ac:dyDescent="0.15">
      <c r="A64" s="87"/>
      <c r="B64" s="87"/>
      <c r="C64" s="52" t="s">
        <v>39</v>
      </c>
      <c r="D64" s="52"/>
      <c r="E64" s="91"/>
      <c r="F64" s="94">
        <f>SUM(H64:L64)</f>
        <v>407000</v>
      </c>
      <c r="G64" s="69"/>
      <c r="H64" s="95">
        <f>304000+1000</f>
        <v>305000</v>
      </c>
      <c r="I64" s="90"/>
      <c r="J64" s="95">
        <v>0</v>
      </c>
      <c r="K64" s="90"/>
      <c r="L64" s="95">
        <v>102000</v>
      </c>
      <c r="M64" s="90"/>
      <c r="N64" s="95">
        <v>1000</v>
      </c>
      <c r="O64" s="90"/>
      <c r="P64" s="95">
        <f>406000</f>
        <v>406000</v>
      </c>
      <c r="Q64" s="90"/>
      <c r="R64" s="95">
        <v>0</v>
      </c>
      <c r="S64" s="86">
        <f t="shared" si="1"/>
        <v>0</v>
      </c>
    </row>
    <row r="65" spans="1:19" x14ac:dyDescent="0.15">
      <c r="A65" s="88"/>
      <c r="B65" s="88"/>
      <c r="C65" s="52"/>
      <c r="D65" s="52"/>
      <c r="G65" s="69"/>
      <c r="H65" s="69"/>
      <c r="I65" s="69"/>
      <c r="J65" s="69"/>
      <c r="K65" s="69"/>
      <c r="L65" s="98"/>
      <c r="M65" s="69"/>
      <c r="N65" s="69"/>
      <c r="O65" s="69"/>
      <c r="P65" s="69"/>
      <c r="Q65" s="69"/>
      <c r="R65" s="69"/>
      <c r="S65" s="86">
        <f t="shared" si="1"/>
        <v>0</v>
      </c>
    </row>
    <row r="66" spans="1:19" x14ac:dyDescent="0.15">
      <c r="A66" s="88"/>
      <c r="B66" s="88"/>
      <c r="C66" s="52"/>
      <c r="D66" s="52"/>
      <c r="E66" s="52" t="s">
        <v>3</v>
      </c>
      <c r="F66" s="94">
        <f>SUM(H66:L66)</f>
        <v>25144000</v>
      </c>
      <c r="G66" s="69"/>
      <c r="H66" s="94">
        <f>SUM(H62:H65)</f>
        <v>615000</v>
      </c>
      <c r="I66" s="75"/>
      <c r="J66" s="94">
        <f>SUM(J62:J65)</f>
        <v>890000</v>
      </c>
      <c r="K66" s="75"/>
      <c r="L66" s="94">
        <f>SUM(L62:L65)</f>
        <v>23639000</v>
      </c>
      <c r="M66" s="75"/>
      <c r="N66" s="94">
        <f>SUM(N62:N65)</f>
        <v>11233000</v>
      </c>
      <c r="O66" s="75"/>
      <c r="P66" s="94">
        <f>SUM(P62:P65)</f>
        <v>13911000</v>
      </c>
      <c r="Q66" s="75"/>
      <c r="R66" s="94">
        <f>SUM(R62:R65)</f>
        <v>0</v>
      </c>
      <c r="S66" s="86">
        <f t="shared" si="1"/>
        <v>0</v>
      </c>
    </row>
    <row r="67" spans="1:19" x14ac:dyDescent="0.15">
      <c r="A67" s="88"/>
      <c r="B67" s="88"/>
      <c r="C67" s="52"/>
      <c r="D67" s="52"/>
      <c r="G67" s="69"/>
      <c r="H67" s="69"/>
      <c r="I67" s="96"/>
      <c r="J67" s="96"/>
      <c r="K67" s="96"/>
      <c r="L67" s="96"/>
      <c r="M67" s="96"/>
      <c r="N67" s="96"/>
      <c r="O67" s="96"/>
      <c r="P67" s="96"/>
      <c r="Q67" s="96"/>
      <c r="R67" s="69"/>
      <c r="S67" s="86">
        <f t="shared" si="1"/>
        <v>0</v>
      </c>
    </row>
    <row r="68" spans="1:19" x14ac:dyDescent="0.15">
      <c r="A68" s="88"/>
      <c r="B68" s="88" t="s">
        <v>29</v>
      </c>
      <c r="C68" s="52"/>
      <c r="D68" s="52"/>
      <c r="F68" s="94">
        <f>SUM(H68:L68)</f>
        <v>145000</v>
      </c>
      <c r="G68" s="69"/>
      <c r="H68" s="95">
        <v>0</v>
      </c>
      <c r="I68" s="90"/>
      <c r="J68" s="95">
        <v>145000</v>
      </c>
      <c r="K68" s="90"/>
      <c r="L68" s="95">
        <v>0</v>
      </c>
      <c r="M68" s="90"/>
      <c r="N68" s="95">
        <v>2235000</v>
      </c>
      <c r="O68" s="90"/>
      <c r="P68" s="95">
        <v>2410000</v>
      </c>
      <c r="Q68" s="90"/>
      <c r="R68" s="95">
        <f>4501000-1000</f>
        <v>4500000</v>
      </c>
      <c r="S68" s="86">
        <f t="shared" si="1"/>
        <v>0</v>
      </c>
    </row>
    <row r="69" spans="1:19" x14ac:dyDescent="0.15">
      <c r="A69" s="88"/>
      <c r="B69" s="88"/>
      <c r="C69" s="52"/>
      <c r="D69" s="52"/>
      <c r="G69" s="69"/>
      <c r="H69" s="69"/>
      <c r="I69" s="96"/>
      <c r="J69" s="96"/>
      <c r="K69" s="96"/>
      <c r="L69" s="96"/>
      <c r="M69" s="96"/>
      <c r="N69" s="96"/>
      <c r="O69" s="96"/>
      <c r="P69" s="96"/>
      <c r="Q69" s="96"/>
      <c r="R69" s="69"/>
      <c r="S69" s="86">
        <f t="shared" si="1"/>
        <v>0</v>
      </c>
    </row>
    <row r="70" spans="1:19" x14ac:dyDescent="0.15">
      <c r="A70" s="88"/>
      <c r="B70" s="88"/>
      <c r="C70" s="52"/>
      <c r="D70" s="52"/>
      <c r="E70" s="52" t="s">
        <v>40</v>
      </c>
      <c r="F70" s="94">
        <f>SUM(H70:L70)</f>
        <v>57094000</v>
      </c>
      <c r="G70" s="69"/>
      <c r="H70" s="94">
        <f>+H59+H66+H68</f>
        <v>26077000</v>
      </c>
      <c r="I70" s="69"/>
      <c r="J70" s="94">
        <f>+J59+J66+J68</f>
        <v>3831000</v>
      </c>
      <c r="K70" s="69"/>
      <c r="L70" s="94">
        <f>+L59+L66+L68</f>
        <v>27186000</v>
      </c>
      <c r="M70" s="69"/>
      <c r="N70" s="94">
        <f>+N59+N66+N68</f>
        <v>31847000</v>
      </c>
      <c r="O70" s="69"/>
      <c r="P70" s="94">
        <f>+P59+P66+P68</f>
        <v>29747000</v>
      </c>
      <c r="Q70" s="69"/>
      <c r="R70" s="94">
        <f>+R59+R66+R68</f>
        <v>4500000</v>
      </c>
      <c r="S70" s="86">
        <f t="shared" si="1"/>
        <v>0</v>
      </c>
    </row>
    <row r="71" spans="1:19" x14ac:dyDescent="0.15">
      <c r="A71" s="88"/>
      <c r="B71" s="88"/>
      <c r="C71" s="52"/>
      <c r="D71" s="52"/>
      <c r="G71" s="69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69"/>
      <c r="S71" s="86">
        <f t="shared" si="1"/>
        <v>0</v>
      </c>
    </row>
    <row r="72" spans="1:19" x14ac:dyDescent="0.15">
      <c r="A72" s="97" t="s">
        <v>41</v>
      </c>
      <c r="B72" s="88"/>
      <c r="C72" s="52"/>
      <c r="D72" s="52"/>
      <c r="G72" s="69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69"/>
      <c r="S72" s="86">
        <f t="shared" ref="S72:S135" si="3">+F72-N72-P72+R72</f>
        <v>0</v>
      </c>
    </row>
    <row r="73" spans="1:19" x14ac:dyDescent="0.15">
      <c r="A73" s="88"/>
      <c r="B73" s="88"/>
      <c r="C73" s="52"/>
      <c r="D73" s="52"/>
      <c r="G73" s="69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69"/>
      <c r="S73" s="86">
        <f t="shared" si="3"/>
        <v>0</v>
      </c>
    </row>
    <row r="74" spans="1:19" x14ac:dyDescent="0.15">
      <c r="A74" s="88"/>
      <c r="B74" s="88" t="s">
        <v>13</v>
      </c>
      <c r="C74" s="52"/>
      <c r="D74" s="52"/>
      <c r="F74" s="94">
        <f>SUM(H74:L74)</f>
        <v>12063000</v>
      </c>
      <c r="G74" s="69"/>
      <c r="H74" s="95">
        <f>10664000-1000</f>
        <v>10663000</v>
      </c>
      <c r="I74" s="90"/>
      <c r="J74" s="95">
        <v>741000</v>
      </c>
      <c r="K74" s="90"/>
      <c r="L74" s="95">
        <v>659000</v>
      </c>
      <c r="M74" s="90"/>
      <c r="N74" s="95">
        <v>8243000</v>
      </c>
      <c r="O74" s="90"/>
      <c r="P74" s="95">
        <v>3820000</v>
      </c>
      <c r="Q74" s="90"/>
      <c r="R74" s="95">
        <v>0</v>
      </c>
      <c r="S74" s="86">
        <f t="shared" si="3"/>
        <v>0</v>
      </c>
    </row>
    <row r="75" spans="1:19" x14ac:dyDescent="0.15">
      <c r="A75" s="88"/>
      <c r="B75" s="88"/>
      <c r="C75" s="52"/>
      <c r="D75" s="52"/>
      <c r="G75" s="69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86">
        <f t="shared" si="3"/>
        <v>0</v>
      </c>
    </row>
    <row r="76" spans="1:19" x14ac:dyDescent="0.15">
      <c r="B76" s="53" t="s">
        <v>24</v>
      </c>
      <c r="F76" s="94">
        <f>SUM(H76:L76)</f>
        <v>7853000</v>
      </c>
      <c r="G76" s="69"/>
      <c r="H76" s="95">
        <v>5000</v>
      </c>
      <c r="I76" s="90"/>
      <c r="J76" s="95">
        <v>32000</v>
      </c>
      <c r="K76" s="90"/>
      <c r="L76" s="95">
        <v>7816000</v>
      </c>
      <c r="M76" s="90"/>
      <c r="N76" s="95">
        <v>3433000</v>
      </c>
      <c r="O76" s="90"/>
      <c r="P76" s="95">
        <f>4421000-1000</f>
        <v>4420000</v>
      </c>
      <c r="Q76" s="90"/>
      <c r="R76" s="95">
        <v>0</v>
      </c>
      <c r="S76" s="86">
        <f t="shared" si="3"/>
        <v>0</v>
      </c>
    </row>
    <row r="77" spans="1:19" x14ac:dyDescent="0.15"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86">
        <f t="shared" si="3"/>
        <v>0</v>
      </c>
    </row>
    <row r="78" spans="1:19" x14ac:dyDescent="0.15">
      <c r="A78" s="87"/>
      <c r="B78" s="52" t="s">
        <v>28</v>
      </c>
      <c r="C78" s="88"/>
      <c r="D78" s="88"/>
      <c r="F78" s="75">
        <f>SUM(H78:L78)</f>
        <v>4046000</v>
      </c>
      <c r="G78" s="69"/>
      <c r="H78" s="90">
        <v>788000</v>
      </c>
      <c r="I78" s="93"/>
      <c r="J78" s="90">
        <v>1974000</v>
      </c>
      <c r="K78" s="93"/>
      <c r="L78" s="90">
        <v>1284000</v>
      </c>
      <c r="M78" s="93"/>
      <c r="N78" s="90">
        <v>2576000</v>
      </c>
      <c r="O78" s="93"/>
      <c r="P78" s="90">
        <v>1470000</v>
      </c>
      <c r="Q78" s="69"/>
      <c r="R78" s="69">
        <v>0</v>
      </c>
      <c r="S78" s="86">
        <f t="shared" si="3"/>
        <v>0</v>
      </c>
    </row>
    <row r="79" spans="1:19" x14ac:dyDescent="0.15">
      <c r="F79" s="65"/>
      <c r="G79" s="69"/>
      <c r="H79" s="66"/>
      <c r="I79" s="69"/>
      <c r="J79" s="66"/>
      <c r="K79" s="69"/>
      <c r="L79" s="66"/>
      <c r="M79" s="69"/>
      <c r="N79" s="66"/>
      <c r="O79" s="69"/>
      <c r="P79" s="66"/>
      <c r="Q79" s="69"/>
      <c r="R79" s="66"/>
      <c r="S79" s="86">
        <f t="shared" si="3"/>
        <v>0</v>
      </c>
    </row>
    <row r="80" spans="1:19" x14ac:dyDescent="0.15">
      <c r="A80" s="88"/>
      <c r="B80" s="52" t="s">
        <v>29</v>
      </c>
      <c r="C80" s="52"/>
      <c r="D80" s="52"/>
      <c r="F80" s="94">
        <f>SUM(H80:L80)</f>
        <v>165000</v>
      </c>
      <c r="G80" s="69"/>
      <c r="H80" s="95">
        <v>165000</v>
      </c>
      <c r="I80" s="90"/>
      <c r="J80" s="95">
        <v>0</v>
      </c>
      <c r="K80" s="90"/>
      <c r="L80" s="95">
        <v>0</v>
      </c>
      <c r="M80" s="90"/>
      <c r="N80" s="95">
        <v>117000</v>
      </c>
      <c r="O80" s="90"/>
      <c r="P80" s="95">
        <v>48000</v>
      </c>
      <c r="Q80" s="90"/>
      <c r="R80" s="95">
        <v>0</v>
      </c>
      <c r="S80" s="86">
        <f t="shared" si="3"/>
        <v>0</v>
      </c>
    </row>
    <row r="81" spans="1:19" x14ac:dyDescent="0.15">
      <c r="A81" s="88"/>
      <c r="B81" s="88"/>
      <c r="C81" s="52"/>
      <c r="D81" s="52"/>
      <c r="G81" s="69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69"/>
      <c r="S81" s="86">
        <f t="shared" si="3"/>
        <v>0</v>
      </c>
    </row>
    <row r="82" spans="1:19" x14ac:dyDescent="0.15">
      <c r="A82" s="88"/>
      <c r="B82" s="88"/>
      <c r="C82" s="52"/>
      <c r="D82" s="52"/>
      <c r="E82" s="52" t="s">
        <v>42</v>
      </c>
      <c r="F82" s="94">
        <f>SUM(H82:L82)</f>
        <v>24127000</v>
      </c>
      <c r="G82" s="69"/>
      <c r="H82" s="94">
        <f>+H74+H76+H78+H80</f>
        <v>11621000</v>
      </c>
      <c r="I82" s="75"/>
      <c r="J82" s="94">
        <f>+J74+J76+J78+J80</f>
        <v>2747000</v>
      </c>
      <c r="K82" s="75"/>
      <c r="L82" s="94">
        <f>+L74+L76+L78+L80</f>
        <v>9759000</v>
      </c>
      <c r="M82" s="75"/>
      <c r="N82" s="94">
        <f>+N74+N76+N78+N80</f>
        <v>14369000</v>
      </c>
      <c r="O82" s="75"/>
      <c r="P82" s="94">
        <f>+P74+P76+P78+P80</f>
        <v>9758000</v>
      </c>
      <c r="Q82" s="75"/>
      <c r="R82" s="94">
        <f>+R74+R76+R78+R80</f>
        <v>0</v>
      </c>
      <c r="S82" s="86">
        <f t="shared" si="3"/>
        <v>0</v>
      </c>
    </row>
    <row r="83" spans="1:19" x14ac:dyDescent="0.15"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86">
        <f t="shared" si="3"/>
        <v>0</v>
      </c>
    </row>
    <row r="84" spans="1:19" x14ac:dyDescent="0.15">
      <c r="A84" s="79" t="s">
        <v>43</v>
      </c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86">
        <f t="shared" si="3"/>
        <v>0</v>
      </c>
    </row>
    <row r="85" spans="1:19" x14ac:dyDescent="0.15"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86">
        <f t="shared" si="3"/>
        <v>0</v>
      </c>
    </row>
    <row r="86" spans="1:19" x14ac:dyDescent="0.15">
      <c r="A86" s="87"/>
      <c r="B86" s="52" t="s">
        <v>13</v>
      </c>
      <c r="C86" s="88"/>
      <c r="D86" s="88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86">
        <f t="shared" si="3"/>
        <v>0</v>
      </c>
    </row>
    <row r="87" spans="1:19" x14ac:dyDescent="0.15">
      <c r="A87" s="87"/>
      <c r="B87" s="52"/>
      <c r="C87" s="88" t="s">
        <v>44</v>
      </c>
      <c r="D87" s="88"/>
      <c r="F87" s="75">
        <f>SUM(H87:L87)</f>
        <v>5652000</v>
      </c>
      <c r="G87" s="92"/>
      <c r="H87" s="90">
        <v>4699000</v>
      </c>
      <c r="I87" s="93"/>
      <c r="J87" s="90">
        <v>659000</v>
      </c>
      <c r="K87" s="93"/>
      <c r="L87" s="90">
        <v>294000</v>
      </c>
      <c r="M87" s="93"/>
      <c r="N87" s="90">
        <v>3512000</v>
      </c>
      <c r="O87" s="93"/>
      <c r="P87" s="90">
        <v>2140000</v>
      </c>
      <c r="Q87" s="93"/>
      <c r="R87" s="90">
        <v>0</v>
      </c>
      <c r="S87" s="86">
        <f t="shared" si="3"/>
        <v>0</v>
      </c>
    </row>
    <row r="88" spans="1:19" x14ac:dyDescent="0.15">
      <c r="A88" s="88"/>
      <c r="B88" s="88"/>
      <c r="C88" s="52" t="s">
        <v>45</v>
      </c>
      <c r="D88" s="52"/>
      <c r="E88" s="91"/>
      <c r="F88" s="75">
        <f>SUM(H88:L88)</f>
        <v>12830000</v>
      </c>
      <c r="G88" s="92"/>
      <c r="H88" s="90">
        <v>11106000</v>
      </c>
      <c r="I88" s="93"/>
      <c r="J88" s="90">
        <v>590000</v>
      </c>
      <c r="K88" s="93"/>
      <c r="L88" s="90">
        <v>1134000</v>
      </c>
      <c r="M88" s="93"/>
      <c r="N88" s="90">
        <v>7972000</v>
      </c>
      <c r="O88" s="93"/>
      <c r="P88" s="90">
        <v>4935000</v>
      </c>
      <c r="Q88" s="93"/>
      <c r="R88" s="90">
        <v>77000</v>
      </c>
      <c r="S88" s="86">
        <f t="shared" si="3"/>
        <v>0</v>
      </c>
    </row>
    <row r="89" spans="1:19" x14ac:dyDescent="0.15">
      <c r="A89" s="88"/>
      <c r="B89" s="88"/>
      <c r="C89" s="52" t="s">
        <v>39</v>
      </c>
      <c r="D89" s="52"/>
      <c r="E89" s="91"/>
      <c r="F89" s="75">
        <f>SUM(H89:L89)</f>
        <v>8978000</v>
      </c>
      <c r="G89" s="92"/>
      <c r="H89" s="90">
        <v>4282000</v>
      </c>
      <c r="I89" s="93"/>
      <c r="J89" s="90">
        <v>2762000</v>
      </c>
      <c r="K89" s="93"/>
      <c r="L89" s="90">
        <v>1934000</v>
      </c>
      <c r="M89" s="93"/>
      <c r="N89" s="90">
        <v>4875000</v>
      </c>
      <c r="O89" s="93"/>
      <c r="P89" s="90">
        <v>4113000</v>
      </c>
      <c r="Q89" s="93"/>
      <c r="R89" s="90">
        <v>10000</v>
      </c>
      <c r="S89" s="86">
        <f t="shared" si="3"/>
        <v>0</v>
      </c>
    </row>
    <row r="90" spans="1:19" x14ac:dyDescent="0.15">
      <c r="A90" s="88"/>
      <c r="B90" s="88"/>
      <c r="C90" s="52" t="s">
        <v>46</v>
      </c>
      <c r="D90" s="52"/>
      <c r="E90" s="91"/>
      <c r="F90" s="75">
        <f>SUM(H90:L90)</f>
        <v>41000</v>
      </c>
      <c r="G90" s="92"/>
      <c r="H90" s="90">
        <v>0</v>
      </c>
      <c r="I90" s="93"/>
      <c r="J90" s="90">
        <v>0</v>
      </c>
      <c r="K90" s="93"/>
      <c r="L90" s="90">
        <v>41000</v>
      </c>
      <c r="M90" s="93"/>
      <c r="N90" s="90">
        <v>0</v>
      </c>
      <c r="O90" s="93"/>
      <c r="P90" s="90">
        <v>41000</v>
      </c>
      <c r="Q90" s="93"/>
      <c r="R90" s="90">
        <v>0</v>
      </c>
      <c r="S90" s="86">
        <f t="shared" si="3"/>
        <v>0</v>
      </c>
    </row>
    <row r="91" spans="1:19" x14ac:dyDescent="0.15">
      <c r="A91" s="88"/>
      <c r="B91" s="88"/>
      <c r="C91" s="52" t="s">
        <v>47</v>
      </c>
      <c r="D91" s="52"/>
      <c r="E91" s="91"/>
      <c r="G91" s="69"/>
      <c r="I91" s="90"/>
      <c r="K91" s="90"/>
      <c r="M91" s="90"/>
      <c r="O91" s="90"/>
      <c r="Q91" s="90"/>
      <c r="S91" s="86">
        <f t="shared" si="3"/>
        <v>0</v>
      </c>
    </row>
    <row r="92" spans="1:19" x14ac:dyDescent="0.15">
      <c r="A92" s="88"/>
      <c r="B92" s="88"/>
      <c r="C92" s="52"/>
      <c r="D92" s="52"/>
      <c r="E92" s="52" t="s">
        <v>48</v>
      </c>
      <c r="F92" s="75">
        <f>SUM(H92:L92)</f>
        <v>27431000</v>
      </c>
      <c r="G92" s="92"/>
      <c r="H92" s="90">
        <f>23074000+1000</f>
        <v>23075000</v>
      </c>
      <c r="I92" s="93"/>
      <c r="J92" s="90">
        <v>399000</v>
      </c>
      <c r="K92" s="93"/>
      <c r="L92" s="90">
        <v>3957000</v>
      </c>
      <c r="M92" s="93"/>
      <c r="N92" s="90">
        <v>16860000</v>
      </c>
      <c r="O92" s="93"/>
      <c r="P92" s="90">
        <v>10571000</v>
      </c>
      <c r="Q92" s="93"/>
      <c r="R92" s="90">
        <v>0</v>
      </c>
      <c r="S92" s="86">
        <f t="shared" si="3"/>
        <v>0</v>
      </c>
    </row>
    <row r="93" spans="1:19" x14ac:dyDescent="0.15">
      <c r="A93" s="88"/>
      <c r="B93" s="88"/>
      <c r="C93" s="52" t="s">
        <v>49</v>
      </c>
      <c r="D93" s="52"/>
      <c r="E93" s="91"/>
      <c r="F93" s="75">
        <f>SUM(H93:L93)</f>
        <v>129000</v>
      </c>
      <c r="G93" s="92"/>
      <c r="H93" s="90">
        <v>39000</v>
      </c>
      <c r="I93" s="93"/>
      <c r="J93" s="90">
        <v>0</v>
      </c>
      <c r="K93" s="93"/>
      <c r="L93" s="90">
        <v>90000</v>
      </c>
      <c r="M93" s="93"/>
      <c r="N93" s="90">
        <v>58000</v>
      </c>
      <c r="O93" s="93"/>
      <c r="P93" s="90">
        <v>71000</v>
      </c>
      <c r="Q93" s="93"/>
      <c r="R93" s="90">
        <v>0</v>
      </c>
      <c r="S93" s="86">
        <f t="shared" si="3"/>
        <v>0</v>
      </c>
    </row>
    <row r="94" spans="1:19" x14ac:dyDescent="0.15">
      <c r="A94" s="88"/>
      <c r="B94" s="88"/>
      <c r="C94" s="52" t="s">
        <v>50</v>
      </c>
      <c r="D94" s="52"/>
      <c r="E94" s="91"/>
      <c r="G94" s="69"/>
      <c r="I94" s="90"/>
      <c r="K94" s="90"/>
      <c r="M94" s="90"/>
      <c r="O94" s="90"/>
      <c r="Q94" s="90"/>
      <c r="S94" s="86">
        <f t="shared" si="3"/>
        <v>0</v>
      </c>
    </row>
    <row r="95" spans="1:19" x14ac:dyDescent="0.15">
      <c r="A95" s="88"/>
      <c r="B95" s="88"/>
      <c r="C95" s="52"/>
      <c r="D95" s="52"/>
      <c r="E95" s="52" t="s">
        <v>51</v>
      </c>
      <c r="F95" s="75">
        <f>SUM(H95:L95)</f>
        <v>4616000</v>
      </c>
      <c r="G95" s="92"/>
      <c r="H95" s="90">
        <v>4317000</v>
      </c>
      <c r="I95" s="93"/>
      <c r="J95" s="90">
        <v>84000</v>
      </c>
      <c r="K95" s="93"/>
      <c r="L95" s="90">
        <v>215000</v>
      </c>
      <c r="M95" s="93"/>
      <c r="N95" s="90">
        <f>3113000+1000</f>
        <v>3114000</v>
      </c>
      <c r="O95" s="93"/>
      <c r="P95" s="90">
        <v>1502000</v>
      </c>
      <c r="Q95" s="93"/>
      <c r="R95" s="90">
        <v>0</v>
      </c>
      <c r="S95" s="86">
        <f t="shared" si="3"/>
        <v>0</v>
      </c>
    </row>
    <row r="96" spans="1:19" x14ac:dyDescent="0.15">
      <c r="A96" s="88"/>
      <c r="B96" s="88"/>
      <c r="C96" s="52" t="s">
        <v>57</v>
      </c>
      <c r="D96" s="52"/>
      <c r="E96" s="91"/>
      <c r="G96" s="92"/>
      <c r="H96" s="90"/>
      <c r="I96" s="93"/>
      <c r="J96" s="90"/>
      <c r="K96" s="93"/>
      <c r="L96" s="90"/>
      <c r="M96" s="93"/>
      <c r="N96" s="90"/>
      <c r="O96" s="93"/>
      <c r="P96" s="90"/>
      <c r="Q96" s="93"/>
      <c r="R96" s="90"/>
      <c r="S96" s="86">
        <f t="shared" si="3"/>
        <v>0</v>
      </c>
    </row>
    <row r="97" spans="1:19" x14ac:dyDescent="0.15">
      <c r="A97" s="88"/>
      <c r="B97" s="88"/>
      <c r="C97" s="52"/>
      <c r="D97" s="52"/>
      <c r="E97" s="91" t="s">
        <v>58</v>
      </c>
      <c r="F97" s="75">
        <f>SUM(H97:L97)</f>
        <v>14000</v>
      </c>
      <c r="G97" s="92"/>
      <c r="H97" s="90">
        <v>3000</v>
      </c>
      <c r="I97" s="93"/>
      <c r="J97" s="90">
        <v>0</v>
      </c>
      <c r="K97" s="93"/>
      <c r="L97" s="90">
        <v>11000</v>
      </c>
      <c r="M97" s="93"/>
      <c r="N97" s="90">
        <v>0</v>
      </c>
      <c r="O97" s="93"/>
      <c r="P97" s="90">
        <v>14000</v>
      </c>
      <c r="Q97" s="93"/>
      <c r="R97" s="90">
        <v>0</v>
      </c>
      <c r="S97" s="86">
        <f t="shared" si="3"/>
        <v>0</v>
      </c>
    </row>
    <row r="98" spans="1:19" x14ac:dyDescent="0.15">
      <c r="A98" s="88"/>
      <c r="B98" s="88"/>
      <c r="C98" s="52" t="s">
        <v>53</v>
      </c>
      <c r="D98" s="52"/>
      <c r="E98" s="91"/>
      <c r="F98" s="75">
        <f>SUM(H98:L98)</f>
        <v>4005000</v>
      </c>
      <c r="G98" s="92"/>
      <c r="H98" s="90">
        <v>3534000</v>
      </c>
      <c r="I98" s="93"/>
      <c r="J98" s="90">
        <v>70000</v>
      </c>
      <c r="K98" s="93"/>
      <c r="L98" s="90">
        <v>401000</v>
      </c>
      <c r="M98" s="93"/>
      <c r="N98" s="90">
        <v>2552000</v>
      </c>
      <c r="O98" s="93"/>
      <c r="P98" s="90">
        <v>1453000</v>
      </c>
      <c r="Q98" s="93"/>
      <c r="R98" s="90">
        <v>0</v>
      </c>
      <c r="S98" s="86">
        <f t="shared" si="3"/>
        <v>0</v>
      </c>
    </row>
    <row r="99" spans="1:19" x14ac:dyDescent="0.15">
      <c r="C99" s="52" t="s">
        <v>54</v>
      </c>
      <c r="D99" s="52"/>
      <c r="E99" s="91"/>
      <c r="F99" s="75">
        <f>SUM(H99:L99)</f>
        <v>14467000</v>
      </c>
      <c r="G99" s="92"/>
      <c r="H99" s="90">
        <v>11754000</v>
      </c>
      <c r="I99" s="93"/>
      <c r="J99" s="90">
        <f>402000+1000</f>
        <v>403000</v>
      </c>
      <c r="K99" s="93"/>
      <c r="L99" s="90">
        <f>2311000-1000</f>
        <v>2310000</v>
      </c>
      <c r="M99" s="93"/>
      <c r="N99" s="90">
        <v>9142000</v>
      </c>
      <c r="O99" s="93"/>
      <c r="P99" s="90">
        <v>5325000</v>
      </c>
      <c r="Q99" s="93"/>
      <c r="R99" s="90">
        <v>0</v>
      </c>
      <c r="S99" s="86">
        <f t="shared" si="3"/>
        <v>0</v>
      </c>
    </row>
    <row r="100" spans="1:19" x14ac:dyDescent="0.15">
      <c r="A100" s="87"/>
      <c r="B100" s="87"/>
      <c r="C100" s="52" t="s">
        <v>55</v>
      </c>
      <c r="D100" s="52"/>
      <c r="E100" s="91"/>
      <c r="F100" s="94">
        <f>SUM(H100:L100)</f>
        <v>2448000</v>
      </c>
      <c r="G100" s="69"/>
      <c r="H100" s="95">
        <v>2148000</v>
      </c>
      <c r="I100" s="90"/>
      <c r="J100" s="95">
        <v>99000</v>
      </c>
      <c r="K100" s="90"/>
      <c r="L100" s="95">
        <v>201000</v>
      </c>
      <c r="M100" s="90"/>
      <c r="N100" s="95">
        <v>1650000</v>
      </c>
      <c r="O100" s="90"/>
      <c r="P100" s="95">
        <v>798000</v>
      </c>
      <c r="Q100" s="90"/>
      <c r="R100" s="95">
        <v>0</v>
      </c>
      <c r="S100" s="86">
        <f t="shared" si="3"/>
        <v>0</v>
      </c>
    </row>
    <row r="101" spans="1:19" x14ac:dyDescent="0.15">
      <c r="A101" s="88"/>
      <c r="B101" s="87"/>
      <c r="C101" s="88"/>
      <c r="D101" s="88"/>
      <c r="E101" s="88"/>
      <c r="G101" s="69"/>
      <c r="H101" s="69"/>
      <c r="I101" s="96"/>
      <c r="J101" s="69"/>
      <c r="K101" s="96"/>
      <c r="L101" s="69"/>
      <c r="M101" s="96"/>
      <c r="N101" s="69"/>
      <c r="O101" s="96"/>
      <c r="P101" s="96"/>
      <c r="Q101" s="96"/>
      <c r="R101" s="69"/>
      <c r="S101" s="86">
        <f t="shared" si="3"/>
        <v>0</v>
      </c>
    </row>
    <row r="102" spans="1:19" x14ac:dyDescent="0.15">
      <c r="A102" s="88"/>
      <c r="B102" s="88"/>
      <c r="C102" s="52"/>
      <c r="D102" s="52"/>
      <c r="E102" s="52" t="s">
        <v>3</v>
      </c>
      <c r="F102" s="94">
        <f>SUM(H102:L102)</f>
        <v>80611000</v>
      </c>
      <c r="G102" s="69"/>
      <c r="H102" s="94">
        <f>SUM(H87:H101)</f>
        <v>64957000</v>
      </c>
      <c r="I102" s="75"/>
      <c r="J102" s="94">
        <f>SUM(J87:J101)</f>
        <v>5066000</v>
      </c>
      <c r="K102" s="75"/>
      <c r="L102" s="94">
        <f>SUM(L87:L101)</f>
        <v>10588000</v>
      </c>
      <c r="M102" s="75"/>
      <c r="N102" s="94">
        <f>SUM(N87:N101)</f>
        <v>49735000</v>
      </c>
      <c r="O102" s="75"/>
      <c r="P102" s="94">
        <f>SUM(P87:P101)</f>
        <v>30963000</v>
      </c>
      <c r="Q102" s="75"/>
      <c r="R102" s="94">
        <f>SUM(R87:R101)</f>
        <v>87000</v>
      </c>
      <c r="S102" s="86">
        <f t="shared" si="3"/>
        <v>0</v>
      </c>
    </row>
    <row r="103" spans="1:19" x14ac:dyDescent="0.15"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86">
        <f t="shared" si="3"/>
        <v>0</v>
      </c>
    </row>
    <row r="104" spans="1:19" x14ac:dyDescent="0.15">
      <c r="A104" s="87"/>
      <c r="B104" s="52" t="s">
        <v>24</v>
      </c>
      <c r="C104" s="88"/>
      <c r="D104" s="88"/>
      <c r="G104" s="69"/>
      <c r="H104" s="96"/>
      <c r="I104" s="96"/>
      <c r="J104" s="69"/>
      <c r="K104" s="96"/>
      <c r="L104" s="69"/>
      <c r="M104" s="96"/>
      <c r="N104" s="96"/>
      <c r="O104" s="96"/>
      <c r="P104" s="96"/>
      <c r="Q104" s="96"/>
      <c r="R104" s="69"/>
      <c r="S104" s="86">
        <f t="shared" si="3"/>
        <v>0</v>
      </c>
    </row>
    <row r="105" spans="1:19" x14ac:dyDescent="0.15">
      <c r="A105" s="88"/>
      <c r="B105" s="88"/>
      <c r="C105" s="52" t="s">
        <v>44</v>
      </c>
      <c r="D105" s="52"/>
      <c r="E105" s="91"/>
      <c r="F105" s="75">
        <f>SUM(H105:L105)</f>
        <v>285000</v>
      </c>
      <c r="G105" s="92"/>
      <c r="H105" s="90">
        <v>11000</v>
      </c>
      <c r="I105" s="93"/>
      <c r="J105" s="90">
        <v>34000</v>
      </c>
      <c r="K105" s="93"/>
      <c r="L105" s="90">
        <v>240000</v>
      </c>
      <c r="M105" s="93"/>
      <c r="N105" s="90">
        <v>134000</v>
      </c>
      <c r="O105" s="93"/>
      <c r="P105" s="90">
        <f>150000+1000</f>
        <v>151000</v>
      </c>
      <c r="Q105" s="93"/>
      <c r="R105" s="90">
        <v>0</v>
      </c>
      <c r="S105" s="86">
        <f t="shared" si="3"/>
        <v>0</v>
      </c>
    </row>
    <row r="106" spans="1:19" x14ac:dyDescent="0.15">
      <c r="A106" s="88"/>
      <c r="B106" s="88"/>
      <c r="C106" s="52" t="s">
        <v>45</v>
      </c>
      <c r="D106" s="52"/>
      <c r="E106" s="91"/>
      <c r="F106" s="75">
        <f>SUM(H106:L106)</f>
        <v>30000</v>
      </c>
      <c r="G106" s="92"/>
      <c r="H106" s="90">
        <v>12000</v>
      </c>
      <c r="I106" s="93"/>
      <c r="J106" s="90">
        <v>1000</v>
      </c>
      <c r="K106" s="93"/>
      <c r="L106" s="90">
        <v>17000</v>
      </c>
      <c r="M106" s="93"/>
      <c r="N106" s="90">
        <v>13000</v>
      </c>
      <c r="O106" s="93"/>
      <c r="P106" s="90">
        <v>17000</v>
      </c>
      <c r="Q106" s="93"/>
      <c r="R106" s="90">
        <v>0</v>
      </c>
      <c r="S106" s="86">
        <f t="shared" si="3"/>
        <v>0</v>
      </c>
    </row>
    <row r="107" spans="1:19" x14ac:dyDescent="0.15">
      <c r="A107" s="88"/>
      <c r="B107" s="88"/>
      <c r="C107" s="52" t="s">
        <v>39</v>
      </c>
      <c r="D107" s="52"/>
      <c r="E107" s="91"/>
      <c r="F107" s="75">
        <f>SUM(H107:L107)</f>
        <v>626000</v>
      </c>
      <c r="G107" s="92"/>
      <c r="H107" s="90">
        <v>367000</v>
      </c>
      <c r="I107" s="93"/>
      <c r="J107" s="90">
        <v>0</v>
      </c>
      <c r="K107" s="93"/>
      <c r="L107" s="90">
        <v>259000</v>
      </c>
      <c r="M107" s="93"/>
      <c r="N107" s="90">
        <v>371000</v>
      </c>
      <c r="O107" s="93"/>
      <c r="P107" s="90">
        <v>255000</v>
      </c>
      <c r="Q107" s="93"/>
      <c r="R107" s="90">
        <v>0</v>
      </c>
      <c r="S107" s="86">
        <f t="shared" si="3"/>
        <v>0</v>
      </c>
    </row>
    <row r="108" spans="1:19" x14ac:dyDescent="0.15">
      <c r="A108" s="88"/>
      <c r="B108" s="88"/>
      <c r="C108" s="52" t="s">
        <v>56</v>
      </c>
      <c r="D108" s="52"/>
      <c r="E108" s="91"/>
      <c r="F108" s="75">
        <f>SUM(H108:L108)</f>
        <v>5234000</v>
      </c>
      <c r="G108" s="92"/>
      <c r="H108" s="90">
        <f>478000-1000</f>
        <v>477000</v>
      </c>
      <c r="I108" s="93"/>
      <c r="J108" s="90">
        <v>320000</v>
      </c>
      <c r="K108" s="93"/>
      <c r="L108" s="90">
        <v>4437000</v>
      </c>
      <c r="M108" s="93"/>
      <c r="N108" s="90">
        <v>2636000</v>
      </c>
      <c r="O108" s="93"/>
      <c r="P108" s="90">
        <v>2598000</v>
      </c>
      <c r="Q108" s="93"/>
      <c r="R108" s="90">
        <v>0</v>
      </c>
      <c r="S108" s="86">
        <f t="shared" si="3"/>
        <v>0</v>
      </c>
    </row>
    <row r="109" spans="1:19" x14ac:dyDescent="0.15">
      <c r="A109" s="88"/>
      <c r="B109" s="88"/>
      <c r="C109" s="52" t="s">
        <v>47</v>
      </c>
      <c r="D109" s="52"/>
      <c r="E109" s="91"/>
      <c r="G109" s="92"/>
      <c r="H109" s="90"/>
      <c r="I109" s="93"/>
      <c r="J109" s="90"/>
      <c r="K109" s="93"/>
      <c r="L109" s="90"/>
      <c r="M109" s="93"/>
      <c r="N109" s="90"/>
      <c r="O109" s="93"/>
      <c r="P109" s="90"/>
      <c r="Q109" s="93"/>
      <c r="R109" s="90"/>
      <c r="S109" s="86">
        <f t="shared" si="3"/>
        <v>0</v>
      </c>
    </row>
    <row r="110" spans="1:19" x14ac:dyDescent="0.15">
      <c r="A110" s="88"/>
      <c r="B110" s="88"/>
      <c r="C110" s="52"/>
      <c r="D110" s="52"/>
      <c r="E110" s="52" t="s">
        <v>48</v>
      </c>
      <c r="F110" s="75">
        <f>SUM(H110:L110)</f>
        <v>-5000</v>
      </c>
      <c r="G110" s="92"/>
      <c r="H110" s="90">
        <v>0</v>
      </c>
      <c r="I110" s="93"/>
      <c r="J110" s="90">
        <v>0</v>
      </c>
      <c r="K110" s="93"/>
      <c r="L110" s="90">
        <v>-5000</v>
      </c>
      <c r="M110" s="93"/>
      <c r="N110" s="90">
        <v>-7000</v>
      </c>
      <c r="O110" s="93"/>
      <c r="P110" s="90">
        <v>2000</v>
      </c>
      <c r="Q110" s="93"/>
      <c r="R110" s="90">
        <v>0</v>
      </c>
      <c r="S110" s="86">
        <f t="shared" si="3"/>
        <v>0</v>
      </c>
    </row>
    <row r="111" spans="1:19" x14ac:dyDescent="0.15">
      <c r="A111" s="88"/>
      <c r="B111" s="88"/>
      <c r="C111" s="52" t="s">
        <v>49</v>
      </c>
      <c r="D111" s="52"/>
      <c r="E111" s="91"/>
      <c r="F111" s="75">
        <f>SUM(H111:L111)</f>
        <v>110401000</v>
      </c>
      <c r="G111" s="92"/>
      <c r="H111" s="90">
        <v>6381000</v>
      </c>
      <c r="I111" s="93"/>
      <c r="J111" s="90">
        <v>5297000</v>
      </c>
      <c r="K111" s="93"/>
      <c r="L111" s="90">
        <v>98723000</v>
      </c>
      <c r="M111" s="93"/>
      <c r="N111" s="90">
        <v>51390000</v>
      </c>
      <c r="O111" s="93"/>
      <c r="P111" s="90">
        <v>59011000</v>
      </c>
      <c r="Q111" s="93"/>
      <c r="R111" s="90">
        <v>0</v>
      </c>
      <c r="S111" s="86">
        <f t="shared" si="3"/>
        <v>0</v>
      </c>
    </row>
    <row r="112" spans="1:19" x14ac:dyDescent="0.15">
      <c r="A112" s="88"/>
      <c r="B112" s="88"/>
      <c r="C112" s="52" t="s">
        <v>50</v>
      </c>
      <c r="D112" s="52"/>
      <c r="E112" s="91"/>
      <c r="G112" s="92"/>
      <c r="H112" s="90"/>
      <c r="I112" s="93"/>
      <c r="J112" s="90"/>
      <c r="K112" s="93"/>
      <c r="L112" s="90"/>
      <c r="M112" s="93"/>
      <c r="N112" s="90"/>
      <c r="O112" s="93"/>
      <c r="P112" s="90"/>
      <c r="Q112" s="93"/>
      <c r="R112" s="90"/>
      <c r="S112" s="86">
        <f t="shared" si="3"/>
        <v>0</v>
      </c>
    </row>
    <row r="113" spans="1:19" x14ac:dyDescent="0.15">
      <c r="A113" s="88"/>
      <c r="B113" s="88"/>
      <c r="C113" s="52"/>
      <c r="D113" s="52"/>
      <c r="E113" s="52" t="s">
        <v>51</v>
      </c>
      <c r="F113" s="75">
        <f>SUM(H113:L113)</f>
        <v>95000</v>
      </c>
      <c r="G113" s="92"/>
      <c r="H113" s="90">
        <v>2000</v>
      </c>
      <c r="I113" s="93"/>
      <c r="J113" s="90">
        <v>88000</v>
      </c>
      <c r="K113" s="93"/>
      <c r="L113" s="90">
        <v>5000</v>
      </c>
      <c r="M113" s="93"/>
      <c r="N113" s="90">
        <v>2000</v>
      </c>
      <c r="O113" s="93"/>
      <c r="P113" s="90">
        <v>93000</v>
      </c>
      <c r="Q113" s="93"/>
      <c r="R113" s="90">
        <v>0</v>
      </c>
      <c r="S113" s="86">
        <f t="shared" si="3"/>
        <v>0</v>
      </c>
    </row>
    <row r="114" spans="1:19" x14ac:dyDescent="0.15">
      <c r="A114" s="88"/>
      <c r="B114" s="88"/>
      <c r="C114" s="52" t="s">
        <v>57</v>
      </c>
      <c r="D114" s="52"/>
      <c r="E114" s="91"/>
      <c r="G114" s="92"/>
      <c r="H114" s="90"/>
      <c r="I114" s="93"/>
      <c r="J114" s="90"/>
      <c r="K114" s="93"/>
      <c r="L114" s="90"/>
      <c r="M114" s="93"/>
      <c r="N114" s="90"/>
      <c r="O114" s="93"/>
      <c r="P114" s="90"/>
      <c r="Q114" s="93"/>
      <c r="R114" s="90"/>
      <c r="S114" s="86">
        <f t="shared" si="3"/>
        <v>0</v>
      </c>
    </row>
    <row r="115" spans="1:19" x14ac:dyDescent="0.15">
      <c r="A115" s="88"/>
      <c r="B115" s="88"/>
      <c r="C115" s="52"/>
      <c r="D115" s="52"/>
      <c r="E115" s="91" t="s">
        <v>58</v>
      </c>
      <c r="F115" s="75">
        <f>SUM(H115:L115)</f>
        <v>2578000</v>
      </c>
      <c r="G115" s="92"/>
      <c r="H115" s="90">
        <v>279000</v>
      </c>
      <c r="I115" s="93"/>
      <c r="J115" s="90">
        <v>143000</v>
      </c>
      <c r="K115" s="93"/>
      <c r="L115" s="90">
        <v>2156000</v>
      </c>
      <c r="M115" s="93"/>
      <c r="N115" s="90">
        <f>1429000+1000</f>
        <v>1430000</v>
      </c>
      <c r="O115" s="93"/>
      <c r="P115" s="90">
        <f>1149000-1000</f>
        <v>1148000</v>
      </c>
      <c r="Q115" s="93"/>
      <c r="R115" s="90">
        <v>0</v>
      </c>
      <c r="S115" s="86">
        <f t="shared" si="3"/>
        <v>0</v>
      </c>
    </row>
    <row r="116" spans="1:19" x14ac:dyDescent="0.15">
      <c r="A116" s="88"/>
      <c r="B116" s="88"/>
      <c r="C116" s="52" t="s">
        <v>59</v>
      </c>
      <c r="D116" s="52"/>
      <c r="E116" s="91"/>
      <c r="F116" s="75">
        <f>SUM(H116:L116)</f>
        <v>127000</v>
      </c>
      <c r="G116" s="92"/>
      <c r="H116" s="90">
        <v>0</v>
      </c>
      <c r="I116" s="93"/>
      <c r="J116" s="90">
        <v>30000</v>
      </c>
      <c r="K116" s="93"/>
      <c r="L116" s="90">
        <v>97000</v>
      </c>
      <c r="M116" s="93"/>
      <c r="N116" s="90">
        <v>63000</v>
      </c>
      <c r="O116" s="93"/>
      <c r="P116" s="90">
        <v>64000</v>
      </c>
      <c r="Q116" s="93"/>
      <c r="R116" s="90">
        <v>0</v>
      </c>
      <c r="S116" s="86">
        <f t="shared" si="3"/>
        <v>0</v>
      </c>
    </row>
    <row r="117" spans="1:19" x14ac:dyDescent="0.15">
      <c r="C117" s="52" t="s">
        <v>55</v>
      </c>
      <c r="D117" s="52"/>
      <c r="E117" s="91"/>
      <c r="F117" s="94">
        <f>SUM(H117:L117)</f>
        <v>1000</v>
      </c>
      <c r="G117" s="69"/>
      <c r="H117" s="95">
        <v>0</v>
      </c>
      <c r="I117" s="90"/>
      <c r="J117" s="95">
        <v>0</v>
      </c>
      <c r="K117" s="90"/>
      <c r="L117" s="95">
        <v>1000</v>
      </c>
      <c r="M117" s="90"/>
      <c r="N117" s="95">
        <v>0</v>
      </c>
      <c r="O117" s="90"/>
      <c r="P117" s="95">
        <v>1000</v>
      </c>
      <c r="Q117" s="90"/>
      <c r="R117" s="95">
        <v>0</v>
      </c>
      <c r="S117" s="86">
        <f t="shared" si="3"/>
        <v>0</v>
      </c>
    </row>
    <row r="118" spans="1:19" x14ac:dyDescent="0.15">
      <c r="A118" s="88"/>
      <c r="B118" s="88"/>
      <c r="C118" s="52"/>
      <c r="D118" s="52"/>
      <c r="G118" s="69"/>
      <c r="H118" s="96"/>
      <c r="I118" s="96"/>
      <c r="J118" s="69"/>
      <c r="K118" s="96"/>
      <c r="L118" s="96"/>
      <c r="M118" s="96"/>
      <c r="N118" s="96"/>
      <c r="O118" s="96"/>
      <c r="P118" s="96"/>
      <c r="Q118" s="96"/>
      <c r="R118" s="69"/>
      <c r="S118" s="86">
        <f t="shared" si="3"/>
        <v>0</v>
      </c>
    </row>
    <row r="119" spans="1:19" x14ac:dyDescent="0.15">
      <c r="A119" s="88"/>
      <c r="B119" s="88"/>
      <c r="C119" s="52"/>
      <c r="D119" s="52"/>
      <c r="E119" s="52" t="s">
        <v>60</v>
      </c>
      <c r="F119" s="94">
        <f>SUM(H119:L119)</f>
        <v>119372000</v>
      </c>
      <c r="G119" s="69"/>
      <c r="H119" s="94">
        <f>SUM(H105:H118)</f>
        <v>7529000</v>
      </c>
      <c r="I119" s="75"/>
      <c r="J119" s="94">
        <f>SUM(J105:J118)</f>
        <v>5913000</v>
      </c>
      <c r="K119" s="75"/>
      <c r="L119" s="94">
        <f>SUM(L105:L118)</f>
        <v>105930000</v>
      </c>
      <c r="M119" s="75"/>
      <c r="N119" s="94">
        <f>SUM(N105:N118)</f>
        <v>56032000</v>
      </c>
      <c r="O119" s="75"/>
      <c r="P119" s="94">
        <f>SUM(P105:P118)</f>
        <v>63340000</v>
      </c>
      <c r="Q119" s="75"/>
      <c r="R119" s="94">
        <f>SUM(R105:R118)</f>
        <v>0</v>
      </c>
      <c r="S119" s="86">
        <f t="shared" si="3"/>
        <v>0</v>
      </c>
    </row>
    <row r="120" spans="1:19" x14ac:dyDescent="0.15">
      <c r="A120" s="88"/>
      <c r="B120" s="88"/>
      <c r="C120" s="52"/>
      <c r="D120" s="52"/>
      <c r="G120" s="69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86">
        <f t="shared" si="3"/>
        <v>0</v>
      </c>
    </row>
    <row r="121" spans="1:19" x14ac:dyDescent="0.15">
      <c r="A121" s="88"/>
      <c r="B121" s="88" t="s">
        <v>28</v>
      </c>
      <c r="C121" s="52"/>
      <c r="D121" s="52"/>
      <c r="G121" s="69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86">
        <f t="shared" si="3"/>
        <v>0</v>
      </c>
    </row>
    <row r="122" spans="1:19" x14ac:dyDescent="0.15">
      <c r="A122" s="88"/>
      <c r="B122" s="88"/>
      <c r="C122" s="52" t="s">
        <v>56</v>
      </c>
      <c r="D122" s="52"/>
      <c r="E122" s="91"/>
      <c r="F122" s="75">
        <f>SUM(H122:L122)</f>
        <v>25000</v>
      </c>
      <c r="G122" s="69"/>
      <c r="H122" s="90">
        <v>0</v>
      </c>
      <c r="I122" s="90"/>
      <c r="J122" s="90">
        <v>25000</v>
      </c>
      <c r="K122" s="90"/>
      <c r="L122" s="90">
        <v>0</v>
      </c>
      <c r="M122" s="90"/>
      <c r="N122" s="90">
        <v>16000</v>
      </c>
      <c r="O122" s="90"/>
      <c r="P122" s="90">
        <v>9000</v>
      </c>
      <c r="Q122" s="90"/>
      <c r="R122" s="90">
        <v>0</v>
      </c>
      <c r="S122" s="86">
        <f t="shared" si="3"/>
        <v>0</v>
      </c>
    </row>
    <row r="123" spans="1:19" x14ac:dyDescent="0.15">
      <c r="A123" s="88"/>
      <c r="B123" s="88"/>
      <c r="C123" s="52" t="s">
        <v>49</v>
      </c>
      <c r="D123" s="52"/>
      <c r="E123" s="91"/>
      <c r="F123" s="94">
        <f>SUM(H123:L123)</f>
        <v>-46000</v>
      </c>
      <c r="G123" s="69"/>
      <c r="H123" s="95">
        <v>0</v>
      </c>
      <c r="I123" s="90"/>
      <c r="J123" s="95">
        <v>-46000</v>
      </c>
      <c r="K123" s="90"/>
      <c r="L123" s="95">
        <v>0</v>
      </c>
      <c r="M123" s="90"/>
      <c r="N123" s="95">
        <v>0</v>
      </c>
      <c r="O123" s="90"/>
      <c r="P123" s="95">
        <v>-46000</v>
      </c>
      <c r="Q123" s="90"/>
      <c r="R123" s="95">
        <v>0</v>
      </c>
      <c r="S123" s="86">
        <f t="shared" si="3"/>
        <v>0</v>
      </c>
    </row>
    <row r="124" spans="1:19" x14ac:dyDescent="0.15">
      <c r="A124" s="88"/>
      <c r="B124" s="88"/>
      <c r="C124" s="52"/>
      <c r="D124" s="52"/>
      <c r="E124" s="91"/>
      <c r="G124" s="69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86">
        <f t="shared" si="3"/>
        <v>0</v>
      </c>
    </row>
    <row r="125" spans="1:19" x14ac:dyDescent="0.15">
      <c r="A125" s="88"/>
      <c r="B125" s="88"/>
      <c r="C125" s="52"/>
      <c r="D125" s="52"/>
      <c r="E125" s="52" t="s">
        <v>3</v>
      </c>
      <c r="F125" s="94">
        <f>SUM(H125:L125)</f>
        <v>-21000</v>
      </c>
      <c r="G125" s="69"/>
      <c r="H125" s="94">
        <f>SUM(H121:H124)</f>
        <v>0</v>
      </c>
      <c r="I125" s="75"/>
      <c r="J125" s="94">
        <f>SUM(J121:J124)</f>
        <v>-21000</v>
      </c>
      <c r="K125" s="75"/>
      <c r="L125" s="94">
        <f>SUM(L121:L124)</f>
        <v>0</v>
      </c>
      <c r="M125" s="75"/>
      <c r="N125" s="94">
        <f>SUM(N121:N124)</f>
        <v>16000</v>
      </c>
      <c r="O125" s="75"/>
      <c r="P125" s="94">
        <f>SUM(P121:P124)</f>
        <v>-37000</v>
      </c>
      <c r="Q125" s="75"/>
      <c r="R125" s="94">
        <f>SUM(R121:R124)</f>
        <v>0</v>
      </c>
      <c r="S125" s="86">
        <f t="shared" si="3"/>
        <v>0</v>
      </c>
    </row>
    <row r="126" spans="1:19" x14ac:dyDescent="0.15">
      <c r="A126" s="88"/>
      <c r="B126" s="88"/>
      <c r="C126" s="52"/>
      <c r="D126" s="52"/>
      <c r="G126" s="69"/>
      <c r="H126" s="96"/>
      <c r="I126" s="96"/>
      <c r="J126" s="69"/>
      <c r="K126" s="96"/>
      <c r="L126" s="96"/>
      <c r="M126" s="96"/>
      <c r="N126" s="96"/>
      <c r="O126" s="96"/>
      <c r="P126" s="96"/>
      <c r="Q126" s="96"/>
      <c r="R126" s="69"/>
      <c r="S126" s="86">
        <f t="shared" si="3"/>
        <v>0</v>
      </c>
    </row>
    <row r="127" spans="1:19" x14ac:dyDescent="0.15">
      <c r="A127" s="88"/>
      <c r="B127" s="88" t="s">
        <v>29</v>
      </c>
      <c r="C127" s="52"/>
      <c r="D127" s="52"/>
      <c r="G127" s="69"/>
      <c r="H127" s="96"/>
      <c r="I127" s="96"/>
      <c r="J127" s="69"/>
      <c r="K127" s="96"/>
      <c r="L127" s="96"/>
      <c r="M127" s="96"/>
      <c r="N127" s="96"/>
      <c r="O127" s="96"/>
      <c r="P127" s="96"/>
      <c r="Q127" s="96"/>
      <c r="R127" s="69"/>
      <c r="S127" s="86">
        <f t="shared" si="3"/>
        <v>0</v>
      </c>
    </row>
    <row r="128" spans="1:19" x14ac:dyDescent="0.15">
      <c r="C128" s="52" t="s">
        <v>39</v>
      </c>
      <c r="D128" s="52"/>
      <c r="E128" s="91"/>
      <c r="F128" s="75">
        <f>SUM(H128:L128)</f>
        <v>3472000</v>
      </c>
      <c r="G128" s="92"/>
      <c r="H128" s="90">
        <v>1000</v>
      </c>
      <c r="I128" s="93"/>
      <c r="J128" s="90">
        <f>370000-1000</f>
        <v>369000</v>
      </c>
      <c r="K128" s="93"/>
      <c r="L128" s="90">
        <v>3102000</v>
      </c>
      <c r="M128" s="93"/>
      <c r="N128" s="90">
        <v>1969000</v>
      </c>
      <c r="O128" s="93"/>
      <c r="P128" s="90">
        <v>1556000</v>
      </c>
      <c r="Q128" s="93"/>
      <c r="R128" s="90">
        <v>53000</v>
      </c>
      <c r="S128" s="86">
        <f t="shared" si="3"/>
        <v>0</v>
      </c>
    </row>
    <row r="129" spans="1:19" x14ac:dyDescent="0.15">
      <c r="C129" s="52" t="s">
        <v>56</v>
      </c>
      <c r="D129" s="52"/>
      <c r="E129" s="91"/>
      <c r="F129" s="75">
        <f>SUM(H129:L129)</f>
        <v>2009000</v>
      </c>
      <c r="G129" s="92"/>
      <c r="H129" s="90"/>
      <c r="I129" s="93"/>
      <c r="J129" s="90">
        <v>1154000</v>
      </c>
      <c r="K129" s="93"/>
      <c r="L129" s="90">
        <v>855000</v>
      </c>
      <c r="M129" s="93"/>
      <c r="N129" s="90">
        <v>864000</v>
      </c>
      <c r="O129" s="93"/>
      <c r="P129" s="90">
        <v>1146000</v>
      </c>
      <c r="Q129" s="93"/>
      <c r="R129" s="90">
        <v>1000</v>
      </c>
      <c r="S129" s="86">
        <f t="shared" si="3"/>
        <v>0</v>
      </c>
    </row>
    <row r="130" spans="1:19" x14ac:dyDescent="0.15">
      <c r="C130" s="52" t="s">
        <v>47</v>
      </c>
      <c r="D130" s="52"/>
      <c r="E130" s="91"/>
      <c r="G130" s="92"/>
      <c r="H130" s="90"/>
      <c r="I130" s="93"/>
      <c r="J130" s="90"/>
      <c r="K130" s="93"/>
      <c r="L130" s="90"/>
      <c r="M130" s="93"/>
      <c r="N130" s="90"/>
      <c r="O130" s="93"/>
      <c r="P130" s="90"/>
      <c r="Q130" s="93"/>
      <c r="R130" s="90"/>
      <c r="S130" s="86">
        <f t="shared" si="3"/>
        <v>0</v>
      </c>
    </row>
    <row r="131" spans="1:19" x14ac:dyDescent="0.15">
      <c r="A131" s="52"/>
      <c r="B131" s="52"/>
      <c r="C131" s="88"/>
      <c r="D131" s="88"/>
      <c r="E131" s="52" t="s">
        <v>48</v>
      </c>
      <c r="F131" s="75">
        <f>SUM(H131:L131)</f>
        <v>412000</v>
      </c>
      <c r="G131" s="92"/>
      <c r="H131" s="90">
        <v>667000</v>
      </c>
      <c r="I131" s="93"/>
      <c r="J131" s="90">
        <v>-291000</v>
      </c>
      <c r="K131" s="93"/>
      <c r="L131" s="90">
        <f>37000-1000</f>
        <v>36000</v>
      </c>
      <c r="M131" s="93"/>
      <c r="N131" s="90">
        <v>1476000</v>
      </c>
      <c r="O131" s="93"/>
      <c r="P131" s="90">
        <f>1293000+3000</f>
        <v>1296000</v>
      </c>
      <c r="Q131" s="93"/>
      <c r="R131" s="90">
        <f>2357000+3000</f>
        <v>2360000</v>
      </c>
      <c r="S131" s="86">
        <f t="shared" si="3"/>
        <v>0</v>
      </c>
    </row>
    <row r="132" spans="1:19" x14ac:dyDescent="0.15">
      <c r="C132" s="52" t="s">
        <v>49</v>
      </c>
      <c r="D132" s="52"/>
      <c r="E132" s="91"/>
      <c r="F132" s="75">
        <f>SUM(H132:L132)</f>
        <v>1887000</v>
      </c>
      <c r="G132" s="92"/>
      <c r="H132" s="90">
        <f>13000-1000</f>
        <v>12000</v>
      </c>
      <c r="I132" s="93"/>
      <c r="J132" s="90">
        <v>1775000</v>
      </c>
      <c r="K132" s="93"/>
      <c r="L132" s="90">
        <v>100000</v>
      </c>
      <c r="M132" s="93"/>
      <c r="N132" s="90">
        <v>2413000</v>
      </c>
      <c r="O132" s="93"/>
      <c r="P132" s="90">
        <v>2908000</v>
      </c>
      <c r="Q132" s="93"/>
      <c r="R132" s="90">
        <f>3433000+1000</f>
        <v>3434000</v>
      </c>
      <c r="S132" s="86">
        <f t="shared" si="3"/>
        <v>0</v>
      </c>
    </row>
    <row r="133" spans="1:19" x14ac:dyDescent="0.15">
      <c r="C133" s="52" t="s">
        <v>59</v>
      </c>
      <c r="D133" s="52"/>
      <c r="F133" s="94">
        <f>SUM(H133:L133)</f>
        <v>74000</v>
      </c>
      <c r="G133" s="69"/>
      <c r="H133" s="95">
        <v>71000</v>
      </c>
      <c r="I133" s="90"/>
      <c r="J133" s="95">
        <v>3000</v>
      </c>
      <c r="K133" s="90"/>
      <c r="L133" s="95">
        <v>0</v>
      </c>
      <c r="M133" s="90"/>
      <c r="N133" s="95">
        <v>46000</v>
      </c>
      <c r="O133" s="90"/>
      <c r="P133" s="95">
        <v>28000</v>
      </c>
      <c r="Q133" s="90"/>
      <c r="R133" s="95">
        <v>0</v>
      </c>
      <c r="S133" s="86">
        <f t="shared" si="3"/>
        <v>0</v>
      </c>
    </row>
    <row r="134" spans="1:19" x14ac:dyDescent="0.15"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86">
        <f t="shared" si="3"/>
        <v>0</v>
      </c>
    </row>
    <row r="135" spans="1:19" x14ac:dyDescent="0.15">
      <c r="E135" s="52" t="s">
        <v>3</v>
      </c>
      <c r="F135" s="94">
        <f>SUM(H135:L135)</f>
        <v>7854000</v>
      </c>
      <c r="G135" s="69">
        <v>0</v>
      </c>
      <c r="H135" s="94">
        <f>SUM(H128:H134)</f>
        <v>751000</v>
      </c>
      <c r="I135" s="75"/>
      <c r="J135" s="94">
        <f>SUM(J128:J134)</f>
        <v>3010000</v>
      </c>
      <c r="K135" s="75"/>
      <c r="L135" s="94">
        <f>SUM(L128:L134)</f>
        <v>4093000</v>
      </c>
      <c r="M135" s="75"/>
      <c r="N135" s="94">
        <f>SUM(N128:N134)</f>
        <v>6768000</v>
      </c>
      <c r="O135" s="75"/>
      <c r="P135" s="94">
        <f>SUM(P128:P134)</f>
        <v>6934000</v>
      </c>
      <c r="Q135" s="75"/>
      <c r="R135" s="94">
        <f>SUM(R128:R134)</f>
        <v>5848000</v>
      </c>
      <c r="S135" s="86">
        <f t="shared" si="3"/>
        <v>0</v>
      </c>
    </row>
    <row r="136" spans="1:19" x14ac:dyDescent="0.15"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86">
        <f t="shared" ref="S136:S199" si="4">+F136-N136-P136+R136</f>
        <v>0</v>
      </c>
    </row>
    <row r="137" spans="1:19" x14ac:dyDescent="0.15">
      <c r="E137" s="52" t="s">
        <v>63</v>
      </c>
      <c r="F137" s="94">
        <f>SUM(H137:L137)</f>
        <v>207816000</v>
      </c>
      <c r="G137" s="69"/>
      <c r="H137" s="94">
        <f>+H102+H119+H125+H135</f>
        <v>73237000</v>
      </c>
      <c r="I137" s="75"/>
      <c r="J137" s="94">
        <f>+J102+J119+J125+J135</f>
        <v>13968000</v>
      </c>
      <c r="K137" s="75"/>
      <c r="L137" s="94">
        <f>+L102+L119+L125+L135</f>
        <v>120611000</v>
      </c>
      <c r="M137" s="75"/>
      <c r="N137" s="94">
        <f>+N102+N119+N125+N135</f>
        <v>112551000</v>
      </c>
      <c r="O137" s="75"/>
      <c r="P137" s="94">
        <f>+P102+P119+P125+P135</f>
        <v>101200000</v>
      </c>
      <c r="Q137" s="75"/>
      <c r="R137" s="94">
        <f>+R102+R119+R125+R135</f>
        <v>5935000</v>
      </c>
      <c r="S137" s="86">
        <f t="shared" si="4"/>
        <v>0</v>
      </c>
    </row>
    <row r="138" spans="1:19" x14ac:dyDescent="0.15"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86">
        <f t="shared" si="4"/>
        <v>0</v>
      </c>
    </row>
    <row r="139" spans="1:19" x14ac:dyDescent="0.15">
      <c r="A139" s="79" t="s">
        <v>64</v>
      </c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86">
        <f t="shared" si="4"/>
        <v>0</v>
      </c>
    </row>
    <row r="140" spans="1:19" x14ac:dyDescent="0.15">
      <c r="A140" s="79"/>
      <c r="B140" s="79" t="s">
        <v>65</v>
      </c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86">
        <f t="shared" si="4"/>
        <v>0</v>
      </c>
    </row>
    <row r="141" spans="1:19" x14ac:dyDescent="0.15"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86">
        <f t="shared" si="4"/>
        <v>0</v>
      </c>
    </row>
    <row r="142" spans="1:19" x14ac:dyDescent="0.15">
      <c r="B142" s="53" t="s">
        <v>13</v>
      </c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86">
        <f t="shared" si="4"/>
        <v>0</v>
      </c>
    </row>
    <row r="143" spans="1:19" x14ac:dyDescent="0.15">
      <c r="C143" s="52" t="s">
        <v>66</v>
      </c>
      <c r="D143" s="52"/>
      <c r="E143" s="91"/>
      <c r="F143" s="75">
        <f>SUM(H143:L143)</f>
        <v>7483000</v>
      </c>
      <c r="G143" s="92"/>
      <c r="H143" s="90">
        <v>6534000</v>
      </c>
      <c r="I143" s="93"/>
      <c r="J143" s="90">
        <v>529000</v>
      </c>
      <c r="K143" s="93"/>
      <c r="L143" s="90">
        <v>420000</v>
      </c>
      <c r="M143" s="93"/>
      <c r="N143" s="90">
        <v>4818000</v>
      </c>
      <c r="O143" s="93"/>
      <c r="P143" s="90">
        <v>2667000</v>
      </c>
      <c r="Q143" s="93"/>
      <c r="R143" s="90">
        <v>2000</v>
      </c>
      <c r="S143" s="86">
        <f t="shared" si="4"/>
        <v>0</v>
      </c>
    </row>
    <row r="144" spans="1:19" x14ac:dyDescent="0.15">
      <c r="C144" s="52" t="s">
        <v>67</v>
      </c>
      <c r="D144" s="52"/>
      <c r="E144" s="91"/>
      <c r="F144" s="75">
        <f>SUM(H144:L144)</f>
        <v>3910000</v>
      </c>
      <c r="G144" s="92"/>
      <c r="H144" s="90">
        <v>3545000</v>
      </c>
      <c r="I144" s="93"/>
      <c r="J144" s="90">
        <v>288000</v>
      </c>
      <c r="K144" s="93"/>
      <c r="L144" s="90">
        <v>77000</v>
      </c>
      <c r="M144" s="93"/>
      <c r="N144" s="90">
        <v>2590000</v>
      </c>
      <c r="O144" s="93"/>
      <c r="P144" s="90">
        <v>1320000</v>
      </c>
      <c r="Q144" s="93"/>
      <c r="R144" s="90">
        <v>0</v>
      </c>
      <c r="S144" s="86">
        <f t="shared" si="4"/>
        <v>0</v>
      </c>
    </row>
    <row r="145" spans="1:19" x14ac:dyDescent="0.15">
      <c r="C145" s="52" t="s">
        <v>39</v>
      </c>
      <c r="D145" s="52"/>
      <c r="E145" s="91"/>
      <c r="F145" s="75">
        <f>SUM(H145:L145)</f>
        <v>4867000</v>
      </c>
      <c r="G145" s="92"/>
      <c r="H145" s="90">
        <v>2759000</v>
      </c>
      <c r="I145" s="93"/>
      <c r="J145" s="90">
        <v>1288000</v>
      </c>
      <c r="K145" s="93"/>
      <c r="L145" s="90">
        <v>820000</v>
      </c>
      <c r="M145" s="93"/>
      <c r="N145" s="90">
        <v>2881000</v>
      </c>
      <c r="O145" s="93"/>
      <c r="P145" s="90">
        <v>2077000</v>
      </c>
      <c r="Q145" s="93"/>
      <c r="R145" s="90">
        <v>91000</v>
      </c>
      <c r="S145" s="86">
        <f t="shared" si="4"/>
        <v>0</v>
      </c>
    </row>
    <row r="146" spans="1:19" x14ac:dyDescent="0.15">
      <c r="C146" s="52" t="s">
        <v>68</v>
      </c>
      <c r="D146" s="52"/>
      <c r="E146" s="91"/>
      <c r="G146" s="69"/>
      <c r="H146" s="90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86">
        <f t="shared" si="4"/>
        <v>0</v>
      </c>
    </row>
    <row r="147" spans="1:19" x14ac:dyDescent="0.15">
      <c r="C147" s="86"/>
      <c r="D147" s="52"/>
      <c r="E147" s="91" t="s">
        <v>69</v>
      </c>
      <c r="F147" s="94">
        <f>SUM(H147:L147)</f>
        <v>2894000</v>
      </c>
      <c r="G147" s="69"/>
      <c r="H147" s="95">
        <v>2388000</v>
      </c>
      <c r="I147" s="90"/>
      <c r="J147" s="95">
        <v>112000</v>
      </c>
      <c r="K147" s="90"/>
      <c r="L147" s="95">
        <v>394000</v>
      </c>
      <c r="M147" s="90"/>
      <c r="N147" s="95">
        <v>1760000</v>
      </c>
      <c r="O147" s="90"/>
      <c r="P147" s="95">
        <v>1134000</v>
      </c>
      <c r="Q147" s="90"/>
      <c r="R147" s="95">
        <v>0</v>
      </c>
      <c r="S147" s="86">
        <f t="shared" si="4"/>
        <v>0</v>
      </c>
    </row>
    <row r="148" spans="1:19" x14ac:dyDescent="0.15">
      <c r="A148" s="88"/>
      <c r="B148" s="88"/>
      <c r="C148" s="88"/>
      <c r="D148" s="88"/>
      <c r="E148" s="8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86">
        <f t="shared" si="4"/>
        <v>0</v>
      </c>
    </row>
    <row r="149" spans="1:19" x14ac:dyDescent="0.15">
      <c r="E149" s="52" t="s">
        <v>3</v>
      </c>
      <c r="F149" s="94">
        <f>SUM(H149:L149)</f>
        <v>19154000</v>
      </c>
      <c r="G149" s="69"/>
      <c r="H149" s="94">
        <f>SUM(H143:H148)</f>
        <v>15226000</v>
      </c>
      <c r="I149" s="75"/>
      <c r="J149" s="94">
        <f>SUM(J143:J148)</f>
        <v>2217000</v>
      </c>
      <c r="K149" s="75"/>
      <c r="L149" s="94">
        <f>SUM(L143:L148)</f>
        <v>1711000</v>
      </c>
      <c r="M149" s="75"/>
      <c r="N149" s="94">
        <f>SUM(N143:N148)</f>
        <v>12049000</v>
      </c>
      <c r="O149" s="75"/>
      <c r="P149" s="94">
        <f>SUM(P143:P148)</f>
        <v>7198000</v>
      </c>
      <c r="Q149" s="75"/>
      <c r="R149" s="94">
        <f>SUM(R143:R148)</f>
        <v>93000</v>
      </c>
      <c r="S149" s="86">
        <f t="shared" si="4"/>
        <v>0</v>
      </c>
    </row>
    <row r="150" spans="1:19" x14ac:dyDescent="0.15">
      <c r="A150" s="88"/>
      <c r="B150" s="88"/>
      <c r="C150" s="88"/>
      <c r="D150" s="88"/>
      <c r="E150" s="88"/>
      <c r="G150" s="83"/>
      <c r="H150" s="83"/>
      <c r="I150" s="69"/>
      <c r="J150" s="83"/>
      <c r="K150" s="69"/>
      <c r="L150" s="83"/>
      <c r="M150" s="69"/>
      <c r="N150" s="83"/>
      <c r="O150" s="69"/>
      <c r="P150" s="83"/>
      <c r="Q150" s="69"/>
      <c r="R150" s="83"/>
      <c r="S150" s="86">
        <f t="shared" si="4"/>
        <v>0</v>
      </c>
    </row>
    <row r="151" spans="1:19" x14ac:dyDescent="0.15">
      <c r="B151" s="53" t="s">
        <v>24</v>
      </c>
      <c r="G151" s="69"/>
      <c r="H151" s="69"/>
      <c r="I151" s="98"/>
      <c r="J151" s="69"/>
      <c r="K151" s="98"/>
      <c r="L151" s="69"/>
      <c r="M151" s="98"/>
      <c r="N151" s="69"/>
      <c r="O151" s="98"/>
      <c r="P151" s="69"/>
      <c r="Q151" s="98"/>
      <c r="R151" s="69"/>
      <c r="S151" s="86">
        <f t="shared" si="4"/>
        <v>0</v>
      </c>
    </row>
    <row r="152" spans="1:19" x14ac:dyDescent="0.15">
      <c r="C152" s="52" t="s">
        <v>66</v>
      </c>
      <c r="D152" s="52"/>
      <c r="E152" s="91"/>
      <c r="F152" s="75">
        <f>SUM(H152:L152)</f>
        <v>53000</v>
      </c>
      <c r="G152" s="92"/>
      <c r="H152" s="90">
        <v>23000</v>
      </c>
      <c r="I152" s="93"/>
      <c r="J152" s="90">
        <v>7000</v>
      </c>
      <c r="K152" s="93"/>
      <c r="L152" s="90">
        <v>23000</v>
      </c>
      <c r="M152" s="93"/>
      <c r="N152" s="90">
        <v>24000</v>
      </c>
      <c r="O152" s="93"/>
      <c r="P152" s="90">
        <v>29000</v>
      </c>
      <c r="Q152" s="93"/>
      <c r="R152" s="90">
        <v>0</v>
      </c>
      <c r="S152" s="86">
        <f t="shared" si="4"/>
        <v>0</v>
      </c>
    </row>
    <row r="153" spans="1:19" x14ac:dyDescent="0.15">
      <c r="C153" s="52" t="s">
        <v>67</v>
      </c>
      <c r="D153" s="52"/>
      <c r="E153" s="91"/>
      <c r="F153" s="75">
        <f>SUM(H153:L153)</f>
        <v>97000</v>
      </c>
      <c r="G153" s="92"/>
      <c r="H153" s="90">
        <f>9000-1000</f>
        <v>8000</v>
      </c>
      <c r="I153" s="93"/>
      <c r="J153" s="90">
        <f>75000+1000</f>
        <v>76000</v>
      </c>
      <c r="K153" s="93"/>
      <c r="L153" s="90">
        <v>13000</v>
      </c>
      <c r="M153" s="93"/>
      <c r="N153" s="90">
        <v>64000</v>
      </c>
      <c r="O153" s="93"/>
      <c r="P153" s="90">
        <v>33000</v>
      </c>
      <c r="Q153" s="93"/>
      <c r="R153" s="90">
        <v>0</v>
      </c>
      <c r="S153" s="86">
        <f t="shared" si="4"/>
        <v>0</v>
      </c>
    </row>
    <row r="154" spans="1:19" x14ac:dyDescent="0.15">
      <c r="C154" s="52" t="s">
        <v>39</v>
      </c>
      <c r="D154" s="52"/>
      <c r="E154" s="91"/>
      <c r="F154" s="75">
        <f>SUM(H154:L154)</f>
        <v>3000</v>
      </c>
      <c r="G154" s="92"/>
      <c r="H154" s="90">
        <v>0</v>
      </c>
      <c r="I154" s="93"/>
      <c r="J154" s="90">
        <v>3000</v>
      </c>
      <c r="K154" s="93"/>
      <c r="L154" s="90">
        <v>0</v>
      </c>
      <c r="M154" s="93"/>
      <c r="N154" s="90">
        <v>0</v>
      </c>
      <c r="O154" s="93"/>
      <c r="P154" s="90">
        <v>3000</v>
      </c>
      <c r="Q154" s="93"/>
      <c r="R154" s="90">
        <v>0</v>
      </c>
      <c r="S154" s="86">
        <f t="shared" si="4"/>
        <v>0</v>
      </c>
    </row>
    <row r="155" spans="1:19" x14ac:dyDescent="0.15">
      <c r="C155" s="52" t="s">
        <v>68</v>
      </c>
      <c r="D155" s="52"/>
      <c r="E155" s="91"/>
      <c r="G155" s="69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86">
        <f t="shared" si="4"/>
        <v>0</v>
      </c>
    </row>
    <row r="156" spans="1:19" x14ac:dyDescent="0.15">
      <c r="C156" s="86"/>
      <c r="D156" s="52"/>
      <c r="E156" s="91" t="s">
        <v>69</v>
      </c>
      <c r="F156" s="94">
        <f>SUM(H156:L156)</f>
        <v>16000</v>
      </c>
      <c r="G156" s="69"/>
      <c r="H156" s="95">
        <v>2000</v>
      </c>
      <c r="I156" s="90"/>
      <c r="J156" s="95">
        <f>14000-1000</f>
        <v>13000</v>
      </c>
      <c r="K156" s="90"/>
      <c r="L156" s="95">
        <v>1000</v>
      </c>
      <c r="M156" s="90"/>
      <c r="N156" s="95">
        <v>1000</v>
      </c>
      <c r="O156" s="90"/>
      <c r="P156" s="95">
        <v>15000</v>
      </c>
      <c r="Q156" s="90"/>
      <c r="R156" s="95">
        <v>0</v>
      </c>
      <c r="S156" s="86">
        <f t="shared" si="4"/>
        <v>0</v>
      </c>
    </row>
    <row r="157" spans="1:19" x14ac:dyDescent="0.15"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86">
        <f t="shared" si="4"/>
        <v>0</v>
      </c>
    </row>
    <row r="158" spans="1:19" x14ac:dyDescent="0.15">
      <c r="E158" s="52" t="s">
        <v>3</v>
      </c>
      <c r="F158" s="94">
        <f>SUM(H158:L158)</f>
        <v>169000</v>
      </c>
      <c r="G158" s="69"/>
      <c r="H158" s="94">
        <f>SUM(H152:H157)</f>
        <v>33000</v>
      </c>
      <c r="I158" s="75"/>
      <c r="J158" s="94">
        <f>SUM(J152:J157)</f>
        <v>99000</v>
      </c>
      <c r="K158" s="75"/>
      <c r="L158" s="94">
        <f>SUM(L152:L157)</f>
        <v>37000</v>
      </c>
      <c r="M158" s="75"/>
      <c r="N158" s="94">
        <f>SUM(N152:N157)</f>
        <v>89000</v>
      </c>
      <c r="O158" s="75"/>
      <c r="P158" s="94">
        <f>SUM(P152:P157)</f>
        <v>80000</v>
      </c>
      <c r="Q158" s="75"/>
      <c r="R158" s="94">
        <f>SUM(R152:R157)</f>
        <v>0</v>
      </c>
      <c r="S158" s="86">
        <f t="shared" si="4"/>
        <v>0</v>
      </c>
    </row>
    <row r="159" spans="1:19" x14ac:dyDescent="0.15">
      <c r="G159" s="69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86">
        <f t="shared" si="4"/>
        <v>0</v>
      </c>
    </row>
    <row r="160" spans="1:19" x14ac:dyDescent="0.15">
      <c r="A160" s="88"/>
      <c r="B160" s="52" t="s">
        <v>29</v>
      </c>
      <c r="C160" s="52"/>
      <c r="D160" s="52"/>
      <c r="F160" s="94">
        <f>SUM(H160:L160)</f>
        <v>275000</v>
      </c>
      <c r="G160" s="69"/>
      <c r="H160" s="95">
        <v>0</v>
      </c>
      <c r="I160" s="90"/>
      <c r="J160" s="95">
        <v>275000</v>
      </c>
      <c r="K160" s="90"/>
      <c r="L160" s="95">
        <v>0</v>
      </c>
      <c r="M160" s="90"/>
      <c r="N160" s="95">
        <v>223000</v>
      </c>
      <c r="O160" s="90"/>
      <c r="P160" s="95">
        <v>52000</v>
      </c>
      <c r="Q160" s="90"/>
      <c r="R160" s="95">
        <v>0</v>
      </c>
      <c r="S160" s="86">
        <f t="shared" si="4"/>
        <v>0</v>
      </c>
    </row>
    <row r="161" spans="1:19" x14ac:dyDescent="0.15">
      <c r="G161" s="69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86">
        <f t="shared" si="4"/>
        <v>0</v>
      </c>
    </row>
    <row r="162" spans="1:19" x14ac:dyDescent="0.15">
      <c r="E162" s="52" t="s">
        <v>70</v>
      </c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86">
        <f t="shared" si="4"/>
        <v>0</v>
      </c>
    </row>
    <row r="163" spans="1:19" x14ac:dyDescent="0.15">
      <c r="E163" s="52" t="s">
        <v>71</v>
      </c>
      <c r="F163" s="94">
        <f>SUM(H163:L163)</f>
        <v>19598000</v>
      </c>
      <c r="G163" s="69"/>
      <c r="H163" s="94">
        <f>+H149+H158+H160</f>
        <v>15259000</v>
      </c>
      <c r="I163" s="69"/>
      <c r="J163" s="94">
        <f>+J149+J158+J160</f>
        <v>2591000</v>
      </c>
      <c r="K163" s="69"/>
      <c r="L163" s="94">
        <f>+L149+L158+L160</f>
        <v>1748000</v>
      </c>
      <c r="M163" s="69"/>
      <c r="N163" s="94">
        <f>+N149+N158+N160</f>
        <v>12361000</v>
      </c>
      <c r="O163" s="69"/>
      <c r="P163" s="94">
        <f>+P149+P158+P160</f>
        <v>7330000</v>
      </c>
      <c r="Q163" s="69"/>
      <c r="R163" s="94">
        <f>+R149+R158+R160</f>
        <v>93000</v>
      </c>
      <c r="S163" s="86">
        <f t="shared" si="4"/>
        <v>0</v>
      </c>
    </row>
    <row r="164" spans="1:19" x14ac:dyDescent="0.15">
      <c r="G164" s="69"/>
      <c r="H164" s="75"/>
      <c r="I164" s="69"/>
      <c r="J164" s="75"/>
      <c r="K164" s="69"/>
      <c r="L164" s="75"/>
      <c r="M164" s="69"/>
      <c r="N164" s="75"/>
      <c r="O164" s="69"/>
      <c r="P164" s="75"/>
      <c r="Q164" s="69"/>
      <c r="R164" s="75"/>
      <c r="S164" s="86">
        <f t="shared" si="4"/>
        <v>0</v>
      </c>
    </row>
    <row r="165" spans="1:19" x14ac:dyDescent="0.15">
      <c r="A165" s="79" t="s">
        <v>72</v>
      </c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86">
        <f t="shared" si="4"/>
        <v>0</v>
      </c>
    </row>
    <row r="166" spans="1:19" x14ac:dyDescent="0.15">
      <c r="A166" s="79"/>
      <c r="B166" s="79" t="s">
        <v>73</v>
      </c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86">
        <f t="shared" si="4"/>
        <v>0</v>
      </c>
    </row>
    <row r="167" spans="1:19" x14ac:dyDescent="0.15"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86">
        <f t="shared" si="4"/>
        <v>0</v>
      </c>
    </row>
    <row r="168" spans="1:19" x14ac:dyDescent="0.15">
      <c r="B168" s="53" t="s">
        <v>13</v>
      </c>
      <c r="C168" s="52"/>
      <c r="D168" s="52"/>
      <c r="E168" s="91"/>
      <c r="F168" s="94">
        <f>SUM(H168:L168)</f>
        <v>7349000</v>
      </c>
      <c r="G168" s="69"/>
      <c r="H168" s="95">
        <f>4168000-1000</f>
        <v>4167000</v>
      </c>
      <c r="I168" s="90"/>
      <c r="J168" s="95">
        <v>728000</v>
      </c>
      <c r="K168" s="90"/>
      <c r="L168" s="95">
        <v>2454000</v>
      </c>
      <c r="M168" s="90"/>
      <c r="N168" s="95">
        <v>4297000</v>
      </c>
      <c r="O168" s="90"/>
      <c r="P168" s="95">
        <v>3052000</v>
      </c>
      <c r="Q168" s="90"/>
      <c r="R168" s="95">
        <v>0</v>
      </c>
      <c r="S168" s="86">
        <f t="shared" si="4"/>
        <v>0</v>
      </c>
    </row>
    <row r="169" spans="1:19" x14ac:dyDescent="0.15"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86">
        <f t="shared" si="4"/>
        <v>0</v>
      </c>
    </row>
    <row r="170" spans="1:19" x14ac:dyDescent="0.15">
      <c r="B170" s="53" t="s">
        <v>24</v>
      </c>
      <c r="F170" s="94">
        <f>SUM(H170:L170)</f>
        <v>12000</v>
      </c>
      <c r="G170" s="69"/>
      <c r="H170" s="95">
        <v>0</v>
      </c>
      <c r="I170" s="90"/>
      <c r="J170" s="95">
        <v>0</v>
      </c>
      <c r="K170" s="90"/>
      <c r="L170" s="95">
        <v>12000</v>
      </c>
      <c r="M170" s="90"/>
      <c r="N170" s="95">
        <v>9000</v>
      </c>
      <c r="O170" s="90"/>
      <c r="P170" s="95">
        <f>4000-1000</f>
        <v>3000</v>
      </c>
      <c r="Q170" s="90"/>
      <c r="R170" s="95">
        <v>0</v>
      </c>
      <c r="S170" s="86">
        <f t="shared" si="4"/>
        <v>0</v>
      </c>
    </row>
    <row r="171" spans="1:19" x14ac:dyDescent="0.15"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86">
        <f t="shared" si="4"/>
        <v>0</v>
      </c>
    </row>
    <row r="172" spans="1:19" x14ac:dyDescent="0.15">
      <c r="A172" s="88"/>
      <c r="B172" s="88" t="s">
        <v>28</v>
      </c>
      <c r="C172" s="52"/>
      <c r="D172" s="52"/>
      <c r="F172" s="94">
        <f>SUM(H172:L172)</f>
        <v>384000</v>
      </c>
      <c r="G172" s="69"/>
      <c r="H172" s="95">
        <v>1000</v>
      </c>
      <c r="I172" s="90"/>
      <c r="J172" s="95">
        <v>0</v>
      </c>
      <c r="K172" s="90"/>
      <c r="L172" s="95">
        <v>383000</v>
      </c>
      <c r="M172" s="90"/>
      <c r="N172" s="95">
        <v>282000</v>
      </c>
      <c r="O172" s="90"/>
      <c r="P172" s="95">
        <v>102000</v>
      </c>
      <c r="Q172" s="90"/>
      <c r="R172" s="95">
        <v>0</v>
      </c>
      <c r="S172" s="86">
        <f t="shared" si="4"/>
        <v>0</v>
      </c>
    </row>
    <row r="173" spans="1:19" x14ac:dyDescent="0.15">
      <c r="A173" s="88"/>
      <c r="B173" s="88"/>
      <c r="C173" s="52"/>
      <c r="D173" s="52"/>
      <c r="G173" s="69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0"/>
      <c r="S173" s="86">
        <f t="shared" si="4"/>
        <v>0</v>
      </c>
    </row>
    <row r="174" spans="1:19" x14ac:dyDescent="0.15">
      <c r="B174" s="53" t="s">
        <v>29</v>
      </c>
      <c r="F174" s="94">
        <f>SUM(H174:L174)</f>
        <v>18000</v>
      </c>
      <c r="G174" s="69"/>
      <c r="H174" s="95">
        <v>0</v>
      </c>
      <c r="I174" s="90"/>
      <c r="J174" s="95">
        <v>0</v>
      </c>
      <c r="K174" s="90"/>
      <c r="L174" s="95">
        <v>18000</v>
      </c>
      <c r="M174" s="90"/>
      <c r="N174" s="95">
        <v>15000</v>
      </c>
      <c r="O174" s="90"/>
      <c r="P174" s="95">
        <f>2000+1000</f>
        <v>3000</v>
      </c>
      <c r="Q174" s="90"/>
      <c r="R174" s="95">
        <v>0</v>
      </c>
      <c r="S174" s="86">
        <f t="shared" si="4"/>
        <v>0</v>
      </c>
    </row>
    <row r="175" spans="1:19" x14ac:dyDescent="0.15">
      <c r="G175" s="69"/>
      <c r="H175" s="90"/>
      <c r="I175" s="90"/>
      <c r="J175" s="90"/>
      <c r="K175" s="90"/>
      <c r="L175" s="90"/>
      <c r="M175" s="90"/>
      <c r="N175" s="90"/>
      <c r="O175" s="90"/>
      <c r="P175" s="90"/>
      <c r="Q175" s="90"/>
      <c r="R175" s="90"/>
      <c r="S175" s="86">
        <f t="shared" si="4"/>
        <v>0</v>
      </c>
    </row>
    <row r="176" spans="1:19" x14ac:dyDescent="0.15">
      <c r="B176" s="79"/>
      <c r="E176" s="52" t="s">
        <v>74</v>
      </c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86">
        <f t="shared" si="4"/>
        <v>0</v>
      </c>
    </row>
    <row r="177" spans="1:19" x14ac:dyDescent="0.15">
      <c r="B177" s="79"/>
      <c r="E177" s="52" t="s">
        <v>75</v>
      </c>
      <c r="F177" s="94">
        <f>SUM(H177:L177)</f>
        <v>7763000</v>
      </c>
      <c r="G177" s="69"/>
      <c r="H177" s="94">
        <f>+H168+H170+H174+H172</f>
        <v>4168000</v>
      </c>
      <c r="I177" s="75"/>
      <c r="J177" s="94">
        <f>+J168+J170+J174+J172</f>
        <v>728000</v>
      </c>
      <c r="K177" s="75"/>
      <c r="L177" s="94">
        <f>+L168+L170+L174+L172</f>
        <v>2867000</v>
      </c>
      <c r="M177" s="75"/>
      <c r="N177" s="94">
        <f>+N168+N170+N174+N172</f>
        <v>4603000</v>
      </c>
      <c r="O177" s="75"/>
      <c r="P177" s="94">
        <f>+P168+P170+P174+P172</f>
        <v>3160000</v>
      </c>
      <c r="Q177" s="75"/>
      <c r="R177" s="94">
        <f>+R168+R170+R174+R172</f>
        <v>0</v>
      </c>
      <c r="S177" s="86">
        <f t="shared" si="4"/>
        <v>0</v>
      </c>
    </row>
    <row r="178" spans="1:19" x14ac:dyDescent="0.15">
      <c r="B178" s="79"/>
      <c r="G178" s="69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86">
        <f t="shared" si="4"/>
        <v>0</v>
      </c>
    </row>
    <row r="179" spans="1:19" x14ac:dyDescent="0.15">
      <c r="A179" s="79" t="s">
        <v>76</v>
      </c>
      <c r="B179" s="79"/>
      <c r="F179" s="52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86">
        <f t="shared" si="4"/>
        <v>0</v>
      </c>
    </row>
    <row r="180" spans="1:19" x14ac:dyDescent="0.15">
      <c r="B180" s="79"/>
      <c r="C180" s="79"/>
      <c r="E180" s="53"/>
      <c r="F180" s="52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86">
        <f t="shared" si="4"/>
        <v>0</v>
      </c>
    </row>
    <row r="181" spans="1:19" x14ac:dyDescent="0.15">
      <c r="B181" s="53" t="s">
        <v>13</v>
      </c>
      <c r="F181" s="94">
        <f>SUM(H181:L181)</f>
        <v>29505000</v>
      </c>
      <c r="G181" s="69"/>
      <c r="H181" s="95">
        <v>16775000</v>
      </c>
      <c r="I181" s="90"/>
      <c r="J181" s="95">
        <v>9226000</v>
      </c>
      <c r="K181" s="90"/>
      <c r="L181" s="95">
        <v>3504000</v>
      </c>
      <c r="M181" s="90"/>
      <c r="N181" s="95">
        <v>21672000</v>
      </c>
      <c r="O181" s="90"/>
      <c r="P181" s="95">
        <f>7834000-1000</f>
        <v>7833000</v>
      </c>
      <c r="Q181" s="90"/>
      <c r="R181" s="95">
        <v>0</v>
      </c>
      <c r="S181" s="86">
        <f t="shared" si="4"/>
        <v>0</v>
      </c>
    </row>
    <row r="182" spans="1:19" x14ac:dyDescent="0.15"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86">
        <f t="shared" si="4"/>
        <v>0</v>
      </c>
    </row>
    <row r="183" spans="1:19" x14ac:dyDescent="0.15">
      <c r="B183" s="53" t="s">
        <v>24</v>
      </c>
      <c r="F183" s="94">
        <f>SUM(H183:L183)</f>
        <v>10034000</v>
      </c>
      <c r="G183" s="69"/>
      <c r="H183" s="95">
        <f>5000+1000</f>
        <v>6000</v>
      </c>
      <c r="I183" s="90"/>
      <c r="J183" s="95">
        <v>2408000</v>
      </c>
      <c r="K183" s="90"/>
      <c r="L183" s="95">
        <v>7620000</v>
      </c>
      <c r="M183" s="90"/>
      <c r="N183" s="95">
        <v>6602000</v>
      </c>
      <c r="O183" s="90"/>
      <c r="P183" s="95">
        <f>3438000+1000</f>
        <v>3439000</v>
      </c>
      <c r="Q183" s="90"/>
      <c r="R183" s="95">
        <v>7000</v>
      </c>
      <c r="S183" s="86">
        <f t="shared" si="4"/>
        <v>0</v>
      </c>
    </row>
    <row r="184" spans="1:19" x14ac:dyDescent="0.15">
      <c r="S184" s="86">
        <f t="shared" si="4"/>
        <v>0</v>
      </c>
    </row>
    <row r="185" spans="1:19" x14ac:dyDescent="0.15">
      <c r="A185" s="88"/>
      <c r="B185" s="88" t="s">
        <v>28</v>
      </c>
      <c r="C185" s="52"/>
      <c r="D185" s="52"/>
      <c r="F185" s="94">
        <f>SUM(H185:L185)</f>
        <v>94000</v>
      </c>
      <c r="G185" s="69"/>
      <c r="H185" s="95">
        <v>0</v>
      </c>
      <c r="I185" s="90"/>
      <c r="J185" s="95">
        <v>0</v>
      </c>
      <c r="K185" s="90"/>
      <c r="L185" s="95">
        <v>94000</v>
      </c>
      <c r="M185" s="90"/>
      <c r="N185" s="95">
        <v>34000</v>
      </c>
      <c r="O185" s="90"/>
      <c r="P185" s="95">
        <v>60000</v>
      </c>
      <c r="Q185" s="90"/>
      <c r="R185" s="95">
        <v>0</v>
      </c>
      <c r="S185" s="86">
        <f t="shared" si="4"/>
        <v>0</v>
      </c>
    </row>
    <row r="186" spans="1:19" x14ac:dyDescent="0.15">
      <c r="S186" s="86">
        <f t="shared" si="4"/>
        <v>0</v>
      </c>
    </row>
    <row r="187" spans="1:19" x14ac:dyDescent="0.15">
      <c r="B187" s="53" t="s">
        <v>29</v>
      </c>
      <c r="F187" s="94">
        <f>SUM(H187:L187)</f>
        <v>14318000</v>
      </c>
      <c r="G187" s="69"/>
      <c r="H187" s="95">
        <v>694000</v>
      </c>
      <c r="I187" s="90"/>
      <c r="J187" s="95">
        <v>13233000</v>
      </c>
      <c r="K187" s="90"/>
      <c r="L187" s="95">
        <v>391000</v>
      </c>
      <c r="M187" s="90"/>
      <c r="N187" s="95">
        <v>7556000</v>
      </c>
      <c r="O187" s="90"/>
      <c r="P187" s="95">
        <f>6764000+1000</f>
        <v>6765000</v>
      </c>
      <c r="Q187" s="90"/>
      <c r="R187" s="95">
        <v>3000</v>
      </c>
      <c r="S187" s="86">
        <f t="shared" si="4"/>
        <v>0</v>
      </c>
    </row>
    <row r="188" spans="1:19" x14ac:dyDescent="0.15"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86">
        <f t="shared" si="4"/>
        <v>0</v>
      </c>
    </row>
    <row r="189" spans="1:19" x14ac:dyDescent="0.15">
      <c r="E189" s="52" t="s">
        <v>77</v>
      </c>
      <c r="F189" s="94">
        <f>SUM(H189:L189)</f>
        <v>53951000</v>
      </c>
      <c r="G189" s="69"/>
      <c r="H189" s="94">
        <f>+H181+H183+H185+H187</f>
        <v>17475000</v>
      </c>
      <c r="I189" s="75"/>
      <c r="J189" s="94">
        <f>+J181+J183+J185+J187</f>
        <v>24867000</v>
      </c>
      <c r="K189" s="75"/>
      <c r="L189" s="94">
        <f>+L181+L183+L185+L187</f>
        <v>11609000</v>
      </c>
      <c r="M189" s="75"/>
      <c r="N189" s="94">
        <f>+N181+N183+N185+N187</f>
        <v>35864000</v>
      </c>
      <c r="O189" s="75"/>
      <c r="P189" s="94">
        <f>+P181+P183+P185+P187</f>
        <v>18097000</v>
      </c>
      <c r="Q189" s="75"/>
      <c r="R189" s="94">
        <f>+R181+R183+R187</f>
        <v>10000</v>
      </c>
      <c r="S189" s="86">
        <f t="shared" si="4"/>
        <v>0</v>
      </c>
    </row>
    <row r="190" spans="1:19" x14ac:dyDescent="0.15"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86">
        <f t="shared" si="4"/>
        <v>0</v>
      </c>
    </row>
    <row r="191" spans="1:19" x14ac:dyDescent="0.15">
      <c r="A191" s="79" t="s">
        <v>78</v>
      </c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86">
        <f t="shared" si="4"/>
        <v>0</v>
      </c>
    </row>
    <row r="192" spans="1:19" x14ac:dyDescent="0.15"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86">
        <f t="shared" si="4"/>
        <v>0</v>
      </c>
    </row>
    <row r="193" spans="2:19" x14ac:dyDescent="0.15">
      <c r="B193" s="53" t="s">
        <v>13</v>
      </c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86">
        <f t="shared" si="4"/>
        <v>0</v>
      </c>
    </row>
    <row r="194" spans="2:19" x14ac:dyDescent="0.15">
      <c r="C194" s="52" t="s">
        <v>79</v>
      </c>
      <c r="D194" s="52"/>
      <c r="E194" s="91"/>
      <c r="F194" s="75">
        <f>SUM(H194:L194)</f>
        <v>2759000</v>
      </c>
      <c r="G194" s="92"/>
      <c r="H194" s="90">
        <v>2401000</v>
      </c>
      <c r="I194" s="93"/>
      <c r="J194" s="90">
        <v>286000</v>
      </c>
      <c r="K194" s="93"/>
      <c r="L194" s="90">
        <v>72000</v>
      </c>
      <c r="M194" s="93"/>
      <c r="N194" s="90">
        <v>1854000</v>
      </c>
      <c r="O194" s="93"/>
      <c r="P194" s="90">
        <v>905000</v>
      </c>
      <c r="Q194" s="93"/>
      <c r="R194" s="90">
        <v>0</v>
      </c>
      <c r="S194" s="86">
        <f t="shared" si="4"/>
        <v>0</v>
      </c>
    </row>
    <row r="195" spans="2:19" x14ac:dyDescent="0.15">
      <c r="C195" s="52" t="s">
        <v>80</v>
      </c>
      <c r="D195" s="52"/>
      <c r="E195" s="91"/>
      <c r="G195" s="69"/>
      <c r="H195" s="90"/>
      <c r="I195" s="90"/>
      <c r="J195" s="90"/>
      <c r="K195" s="90"/>
      <c r="L195" s="90"/>
      <c r="M195" s="90"/>
      <c r="N195" s="90"/>
      <c r="O195" s="90"/>
      <c r="P195" s="90"/>
      <c r="Q195" s="90"/>
      <c r="R195" s="90"/>
      <c r="S195" s="86">
        <f t="shared" si="4"/>
        <v>0</v>
      </c>
    </row>
    <row r="196" spans="2:19" x14ac:dyDescent="0.15">
      <c r="C196" s="52"/>
      <c r="D196" s="52"/>
      <c r="E196" s="91" t="s">
        <v>81</v>
      </c>
      <c r="F196" s="75">
        <f t="shared" ref="F196:F204" si="5">SUM(H196:L196)</f>
        <v>49000</v>
      </c>
      <c r="G196" s="92"/>
      <c r="H196" s="90">
        <v>0</v>
      </c>
      <c r="I196" s="93"/>
      <c r="J196" s="90">
        <v>0</v>
      </c>
      <c r="K196" s="93"/>
      <c r="L196" s="90">
        <v>49000</v>
      </c>
      <c r="M196" s="93"/>
      <c r="N196" s="90">
        <v>4000</v>
      </c>
      <c r="O196" s="93"/>
      <c r="P196" s="90">
        <f>46000-1000</f>
        <v>45000</v>
      </c>
      <c r="Q196" s="93"/>
      <c r="R196" s="90">
        <v>0</v>
      </c>
      <c r="S196" s="86">
        <f t="shared" si="4"/>
        <v>0</v>
      </c>
    </row>
    <row r="197" spans="2:19" x14ac:dyDescent="0.15">
      <c r="C197" s="52" t="s">
        <v>82</v>
      </c>
      <c r="D197" s="52"/>
      <c r="E197" s="91"/>
      <c r="F197" s="75">
        <f t="shared" si="5"/>
        <v>7284000</v>
      </c>
      <c r="G197" s="92"/>
      <c r="H197" s="90">
        <v>6685000</v>
      </c>
      <c r="I197" s="93"/>
      <c r="J197" s="90">
        <f>179000+1000</f>
        <v>180000</v>
      </c>
      <c r="K197" s="93"/>
      <c r="L197" s="90">
        <v>419000</v>
      </c>
      <c r="M197" s="93"/>
      <c r="N197" s="90">
        <v>4781000</v>
      </c>
      <c r="O197" s="93"/>
      <c r="P197" s="90">
        <f>2502000+1000</f>
        <v>2503000</v>
      </c>
      <c r="Q197" s="93"/>
      <c r="R197" s="90">
        <v>0</v>
      </c>
      <c r="S197" s="86">
        <f t="shared" si="4"/>
        <v>0</v>
      </c>
    </row>
    <row r="198" spans="2:19" x14ac:dyDescent="0.15">
      <c r="C198" s="52" t="s">
        <v>83</v>
      </c>
      <c r="D198" s="52"/>
      <c r="E198" s="91"/>
      <c r="F198" s="75">
        <f t="shared" si="5"/>
        <v>491000</v>
      </c>
      <c r="G198" s="92"/>
      <c r="H198" s="90">
        <f>358000+1000</f>
        <v>359000</v>
      </c>
      <c r="I198" s="93"/>
      <c r="J198" s="90">
        <v>40000</v>
      </c>
      <c r="K198" s="93"/>
      <c r="L198" s="90">
        <v>92000</v>
      </c>
      <c r="M198" s="93"/>
      <c r="N198" s="90">
        <f>58000</f>
        <v>58000</v>
      </c>
      <c r="O198" s="93"/>
      <c r="P198" s="90">
        <v>433000</v>
      </c>
      <c r="Q198" s="93"/>
      <c r="R198" s="90">
        <v>0</v>
      </c>
      <c r="S198" s="86">
        <f t="shared" si="4"/>
        <v>0</v>
      </c>
    </row>
    <row r="199" spans="2:19" x14ac:dyDescent="0.15">
      <c r="C199" s="52" t="s">
        <v>84</v>
      </c>
      <c r="D199" s="52"/>
      <c r="E199" s="91"/>
      <c r="F199" s="75">
        <f t="shared" si="5"/>
        <v>4360000</v>
      </c>
      <c r="G199" s="92"/>
      <c r="H199" s="90">
        <v>3449000</v>
      </c>
      <c r="I199" s="93"/>
      <c r="J199" s="90">
        <v>371000</v>
      </c>
      <c r="K199" s="93"/>
      <c r="L199" s="90">
        <v>540000</v>
      </c>
      <c r="M199" s="93"/>
      <c r="N199" s="90">
        <v>2768000</v>
      </c>
      <c r="O199" s="93"/>
      <c r="P199" s="90">
        <v>1592000</v>
      </c>
      <c r="Q199" s="93"/>
      <c r="R199" s="90">
        <v>0</v>
      </c>
      <c r="S199" s="86">
        <f t="shared" si="4"/>
        <v>0</v>
      </c>
    </row>
    <row r="200" spans="2:19" x14ac:dyDescent="0.15">
      <c r="C200" s="52" t="s">
        <v>85</v>
      </c>
      <c r="D200" s="52"/>
      <c r="E200" s="91"/>
      <c r="F200" s="75">
        <f t="shared" si="5"/>
        <v>2462000</v>
      </c>
      <c r="G200" s="92"/>
      <c r="H200" s="90">
        <v>1953000</v>
      </c>
      <c r="I200" s="93"/>
      <c r="J200" s="90">
        <v>317000</v>
      </c>
      <c r="K200" s="93"/>
      <c r="L200" s="90">
        <v>192000</v>
      </c>
      <c r="M200" s="93"/>
      <c r="N200" s="90">
        <v>1609000</v>
      </c>
      <c r="O200" s="93"/>
      <c r="P200" s="90">
        <v>853000</v>
      </c>
      <c r="Q200" s="93"/>
      <c r="R200" s="90">
        <v>0</v>
      </c>
      <c r="S200" s="86">
        <f t="shared" ref="S200:S263" si="6">+F200-N200-P200+R200</f>
        <v>0</v>
      </c>
    </row>
    <row r="201" spans="2:19" x14ac:dyDescent="0.15">
      <c r="C201" s="52" t="s">
        <v>86</v>
      </c>
      <c r="D201" s="52"/>
      <c r="E201" s="91"/>
      <c r="F201" s="75">
        <f t="shared" si="5"/>
        <v>4074000</v>
      </c>
      <c r="G201" s="92"/>
      <c r="H201" s="90">
        <v>3535000</v>
      </c>
      <c r="I201" s="93"/>
      <c r="J201" s="90">
        <v>158000</v>
      </c>
      <c r="K201" s="93"/>
      <c r="L201" s="90">
        <v>381000</v>
      </c>
      <c r="M201" s="93"/>
      <c r="N201" s="90">
        <v>2688000</v>
      </c>
      <c r="O201" s="93"/>
      <c r="P201" s="90">
        <v>1386000</v>
      </c>
      <c r="Q201" s="93"/>
      <c r="R201" s="90">
        <v>0</v>
      </c>
      <c r="S201" s="86">
        <f t="shared" si="6"/>
        <v>0</v>
      </c>
    </row>
    <row r="202" spans="2:19" x14ac:dyDescent="0.15">
      <c r="C202" s="52" t="s">
        <v>87</v>
      </c>
      <c r="D202" s="52"/>
      <c r="E202" s="91"/>
      <c r="F202" s="75">
        <f t="shared" si="5"/>
        <v>531000</v>
      </c>
      <c r="G202" s="92"/>
      <c r="H202" s="90">
        <v>373000</v>
      </c>
      <c r="I202" s="93"/>
      <c r="J202" s="90">
        <v>5000</v>
      </c>
      <c r="K202" s="93"/>
      <c r="L202" s="90">
        <v>153000</v>
      </c>
      <c r="M202" s="93"/>
      <c r="N202" s="90">
        <v>264000</v>
      </c>
      <c r="O202" s="93"/>
      <c r="P202" s="90">
        <v>267000</v>
      </c>
      <c r="Q202" s="93"/>
      <c r="R202" s="90">
        <v>0</v>
      </c>
      <c r="S202" s="86">
        <f t="shared" si="6"/>
        <v>0</v>
      </c>
    </row>
    <row r="203" spans="2:19" x14ac:dyDescent="0.15">
      <c r="C203" s="52" t="s">
        <v>88</v>
      </c>
      <c r="D203" s="52"/>
      <c r="E203" s="91"/>
      <c r="F203" s="75">
        <f t="shared" si="5"/>
        <v>3141000</v>
      </c>
      <c r="G203" s="92"/>
      <c r="H203" s="90">
        <v>3074000</v>
      </c>
      <c r="I203" s="93"/>
      <c r="J203" s="90">
        <v>67000</v>
      </c>
      <c r="K203" s="93"/>
      <c r="L203" s="90">
        <v>0</v>
      </c>
      <c r="M203" s="93"/>
      <c r="N203" s="90">
        <f>2136000+1000</f>
        <v>2137000</v>
      </c>
      <c r="O203" s="93"/>
      <c r="P203" s="90">
        <v>1004000</v>
      </c>
      <c r="Q203" s="93"/>
      <c r="R203" s="90">
        <v>0</v>
      </c>
      <c r="S203" s="86">
        <f t="shared" si="6"/>
        <v>0</v>
      </c>
    </row>
    <row r="204" spans="2:19" x14ac:dyDescent="0.15">
      <c r="C204" s="52" t="s">
        <v>89</v>
      </c>
      <c r="D204" s="52"/>
      <c r="E204" s="91"/>
      <c r="F204" s="75">
        <f t="shared" si="5"/>
        <v>399000</v>
      </c>
      <c r="G204" s="92"/>
      <c r="H204" s="90">
        <v>399000</v>
      </c>
      <c r="I204" s="93"/>
      <c r="J204" s="90">
        <v>0</v>
      </c>
      <c r="K204" s="93"/>
      <c r="L204" s="90">
        <v>0</v>
      </c>
      <c r="M204" s="93"/>
      <c r="N204" s="90">
        <v>306000</v>
      </c>
      <c r="O204" s="93"/>
      <c r="P204" s="90">
        <v>93000</v>
      </c>
      <c r="Q204" s="93"/>
      <c r="R204" s="90">
        <v>0</v>
      </c>
      <c r="S204" s="86">
        <f t="shared" si="6"/>
        <v>0</v>
      </c>
    </row>
    <row r="205" spans="2:19" x14ac:dyDescent="0.15">
      <c r="C205" s="52" t="s">
        <v>90</v>
      </c>
      <c r="D205" s="52"/>
      <c r="E205" s="91"/>
      <c r="G205" s="69"/>
      <c r="I205" s="90"/>
      <c r="J205" s="90"/>
      <c r="K205" s="90"/>
      <c r="L205" s="90"/>
      <c r="M205" s="90"/>
      <c r="N205" s="90"/>
      <c r="O205" s="90"/>
      <c r="P205" s="90"/>
      <c r="Q205" s="90"/>
      <c r="R205" s="90"/>
      <c r="S205" s="86">
        <f t="shared" si="6"/>
        <v>0</v>
      </c>
    </row>
    <row r="206" spans="2:19" x14ac:dyDescent="0.15">
      <c r="C206" s="52" t="s">
        <v>22</v>
      </c>
      <c r="D206" s="52" t="s">
        <v>22</v>
      </c>
      <c r="E206" s="91" t="s">
        <v>91</v>
      </c>
      <c r="F206" s="75">
        <f>SUM(H206:L206)</f>
        <v>2000</v>
      </c>
      <c r="G206" s="92"/>
      <c r="H206" s="90">
        <v>0</v>
      </c>
      <c r="I206" s="93"/>
      <c r="J206" s="90">
        <v>2000</v>
      </c>
      <c r="K206" s="93"/>
      <c r="L206" s="90">
        <v>0</v>
      </c>
      <c r="M206" s="93"/>
      <c r="N206" s="90">
        <v>0</v>
      </c>
      <c r="O206" s="93"/>
      <c r="P206" s="90">
        <v>2000</v>
      </c>
      <c r="Q206" s="93"/>
      <c r="R206" s="90">
        <v>0</v>
      </c>
      <c r="S206" s="86">
        <f t="shared" si="6"/>
        <v>0</v>
      </c>
    </row>
    <row r="207" spans="2:19" x14ac:dyDescent="0.15">
      <c r="C207" s="52" t="s">
        <v>92</v>
      </c>
      <c r="D207" s="52"/>
      <c r="E207" s="91"/>
      <c r="F207" s="75">
        <f>SUM(H207:L207)</f>
        <v>1000</v>
      </c>
      <c r="G207" s="92"/>
      <c r="H207" s="90">
        <v>0</v>
      </c>
      <c r="I207" s="93"/>
      <c r="J207" s="90">
        <v>0</v>
      </c>
      <c r="K207" s="93"/>
      <c r="L207" s="90">
        <v>1000</v>
      </c>
      <c r="M207" s="93"/>
      <c r="N207" s="90">
        <v>0</v>
      </c>
      <c r="O207" s="93"/>
      <c r="P207" s="90">
        <v>1000</v>
      </c>
      <c r="Q207" s="93"/>
      <c r="R207" s="90">
        <v>0</v>
      </c>
      <c r="S207" s="86">
        <f t="shared" si="6"/>
        <v>0</v>
      </c>
    </row>
    <row r="208" spans="2:19" x14ac:dyDescent="0.15">
      <c r="C208" s="52" t="s">
        <v>93</v>
      </c>
      <c r="D208" s="52"/>
      <c r="E208" s="91"/>
      <c r="F208" s="75">
        <f>SUM(H208:L208)</f>
        <v>3209000</v>
      </c>
      <c r="G208" s="92"/>
      <c r="H208" s="90">
        <v>2556000</v>
      </c>
      <c r="I208" s="93"/>
      <c r="J208" s="90">
        <v>118000</v>
      </c>
      <c r="K208" s="93"/>
      <c r="L208" s="90">
        <v>535000</v>
      </c>
      <c r="M208" s="93"/>
      <c r="N208" s="90">
        <v>2111000</v>
      </c>
      <c r="O208" s="93"/>
      <c r="P208" s="90">
        <f>1097000+1000</f>
        <v>1098000</v>
      </c>
      <c r="Q208" s="93"/>
      <c r="R208" s="90">
        <v>0</v>
      </c>
      <c r="S208" s="86">
        <f t="shared" si="6"/>
        <v>0</v>
      </c>
    </row>
    <row r="209" spans="3:19" x14ac:dyDescent="0.15">
      <c r="C209" s="52" t="s">
        <v>94</v>
      </c>
      <c r="D209" s="52"/>
      <c r="E209" s="91"/>
      <c r="F209" s="75">
        <f>SUM(H209:L209)</f>
        <v>2387000</v>
      </c>
      <c r="G209" s="92"/>
      <c r="H209" s="90">
        <v>1879000</v>
      </c>
      <c r="I209" s="93"/>
      <c r="J209" s="90">
        <v>505000</v>
      </c>
      <c r="K209" s="93"/>
      <c r="L209" s="90">
        <v>3000</v>
      </c>
      <c r="M209" s="93"/>
      <c r="N209" s="90">
        <v>1726000</v>
      </c>
      <c r="O209" s="93"/>
      <c r="P209" s="90">
        <v>661000</v>
      </c>
      <c r="Q209" s="93"/>
      <c r="R209" s="90">
        <v>0</v>
      </c>
      <c r="S209" s="86">
        <f t="shared" si="6"/>
        <v>0</v>
      </c>
    </row>
    <row r="210" spans="3:19" x14ac:dyDescent="0.15">
      <c r="C210" s="52" t="s">
        <v>95</v>
      </c>
      <c r="D210" s="52"/>
      <c r="E210" s="91"/>
      <c r="F210" s="75">
        <f>SUM(H210:L210)</f>
        <v>2972000</v>
      </c>
      <c r="G210" s="92"/>
      <c r="H210" s="90">
        <v>2483000</v>
      </c>
      <c r="I210" s="93"/>
      <c r="J210" s="90">
        <v>73000</v>
      </c>
      <c r="K210" s="93"/>
      <c r="L210" s="90">
        <v>416000</v>
      </c>
      <c r="M210" s="93"/>
      <c r="N210" s="90">
        <v>1960000</v>
      </c>
      <c r="O210" s="93"/>
      <c r="P210" s="90">
        <v>1012000</v>
      </c>
      <c r="Q210" s="93"/>
      <c r="R210" s="90">
        <v>0</v>
      </c>
      <c r="S210" s="86">
        <f t="shared" si="6"/>
        <v>0</v>
      </c>
    </row>
    <row r="211" spans="3:19" x14ac:dyDescent="0.15">
      <c r="C211" s="52" t="s">
        <v>96</v>
      </c>
      <c r="D211" s="52"/>
      <c r="E211" s="91"/>
      <c r="G211" s="69"/>
      <c r="I211" s="90"/>
      <c r="J211" s="90"/>
      <c r="K211" s="90"/>
      <c r="L211" s="90"/>
      <c r="M211" s="90"/>
      <c r="N211" s="90"/>
      <c r="O211" s="90"/>
      <c r="P211" s="90"/>
      <c r="Q211" s="90"/>
      <c r="R211" s="90"/>
      <c r="S211" s="86">
        <f t="shared" si="6"/>
        <v>0</v>
      </c>
    </row>
    <row r="212" spans="3:19" x14ac:dyDescent="0.15">
      <c r="C212" s="52" t="s">
        <v>22</v>
      </c>
      <c r="D212" s="52" t="s">
        <v>22</v>
      </c>
      <c r="E212" s="91" t="s">
        <v>97</v>
      </c>
      <c r="F212" s="75">
        <f t="shared" ref="F212:F225" si="7">SUM(H212:L212)</f>
        <v>490000</v>
      </c>
      <c r="G212" s="92"/>
      <c r="H212" s="90">
        <v>461000</v>
      </c>
      <c r="I212" s="93"/>
      <c r="J212" s="90">
        <v>1000</v>
      </c>
      <c r="K212" s="93"/>
      <c r="L212" s="90">
        <v>28000</v>
      </c>
      <c r="M212" s="93"/>
      <c r="N212" s="90">
        <v>359000</v>
      </c>
      <c r="O212" s="93"/>
      <c r="P212" s="90">
        <v>131000</v>
      </c>
      <c r="Q212" s="93"/>
      <c r="R212" s="90">
        <v>0</v>
      </c>
      <c r="S212" s="86">
        <f t="shared" si="6"/>
        <v>0</v>
      </c>
    </row>
    <row r="213" spans="3:19" x14ac:dyDescent="0.15">
      <c r="C213" s="52" t="s">
        <v>39</v>
      </c>
      <c r="D213" s="52"/>
      <c r="E213" s="91"/>
      <c r="F213" s="75">
        <f t="shared" si="7"/>
        <v>7254000</v>
      </c>
      <c r="G213" s="92"/>
      <c r="H213" s="90">
        <v>4542000</v>
      </c>
      <c r="I213" s="93"/>
      <c r="J213" s="90">
        <f>1857000-1000</f>
        <v>1856000</v>
      </c>
      <c r="K213" s="93"/>
      <c r="L213" s="90">
        <v>856000</v>
      </c>
      <c r="M213" s="93"/>
      <c r="N213" s="90">
        <v>4798000</v>
      </c>
      <c r="O213" s="93"/>
      <c r="P213" s="90">
        <v>2456000</v>
      </c>
      <c r="Q213" s="93"/>
      <c r="R213" s="90">
        <v>0</v>
      </c>
      <c r="S213" s="86">
        <f t="shared" si="6"/>
        <v>0</v>
      </c>
    </row>
    <row r="214" spans="3:19" x14ac:dyDescent="0.15">
      <c r="C214" s="52" t="s">
        <v>98</v>
      </c>
      <c r="D214" s="52"/>
      <c r="E214" s="91"/>
      <c r="F214" s="75">
        <f t="shared" si="7"/>
        <v>1612000</v>
      </c>
      <c r="G214" s="92"/>
      <c r="H214" s="90">
        <f>1419000-1000</f>
        <v>1418000</v>
      </c>
      <c r="I214" s="93"/>
      <c r="J214" s="90">
        <v>195000</v>
      </c>
      <c r="K214" s="93"/>
      <c r="L214" s="90">
        <v>-1000</v>
      </c>
      <c r="M214" s="93"/>
      <c r="N214" s="90">
        <v>1163000</v>
      </c>
      <c r="O214" s="93"/>
      <c r="P214" s="90">
        <v>449000</v>
      </c>
      <c r="Q214" s="93"/>
      <c r="R214" s="90">
        <v>0</v>
      </c>
      <c r="S214" s="86">
        <f t="shared" si="6"/>
        <v>0</v>
      </c>
    </row>
    <row r="215" spans="3:19" x14ac:dyDescent="0.15">
      <c r="C215" s="52" t="s">
        <v>100</v>
      </c>
      <c r="D215" s="52"/>
      <c r="E215" s="91"/>
      <c r="F215" s="75">
        <f t="shared" si="7"/>
        <v>3749000</v>
      </c>
      <c r="G215" s="92"/>
      <c r="H215" s="90">
        <v>3265000</v>
      </c>
      <c r="I215" s="93"/>
      <c r="J215" s="90">
        <v>87000</v>
      </c>
      <c r="K215" s="93"/>
      <c r="L215" s="90">
        <v>397000</v>
      </c>
      <c r="M215" s="93"/>
      <c r="N215" s="90">
        <v>2440000</v>
      </c>
      <c r="O215" s="93"/>
      <c r="P215" s="90">
        <v>1309000</v>
      </c>
      <c r="Q215" s="93"/>
      <c r="R215" s="90">
        <v>0</v>
      </c>
      <c r="S215" s="86">
        <f t="shared" si="6"/>
        <v>0</v>
      </c>
    </row>
    <row r="216" spans="3:19" x14ac:dyDescent="0.15">
      <c r="C216" s="52" t="s">
        <v>101</v>
      </c>
      <c r="D216" s="52"/>
      <c r="E216" s="91"/>
      <c r="F216" s="75">
        <f t="shared" si="7"/>
        <v>5000000</v>
      </c>
      <c r="G216" s="92"/>
      <c r="H216" s="90">
        <v>4292000</v>
      </c>
      <c r="I216" s="93"/>
      <c r="J216" s="90">
        <v>441000</v>
      </c>
      <c r="K216" s="93"/>
      <c r="L216" s="90">
        <v>267000</v>
      </c>
      <c r="M216" s="93"/>
      <c r="N216" s="90">
        <v>3068000</v>
      </c>
      <c r="O216" s="93"/>
      <c r="P216" s="90">
        <v>1994000</v>
      </c>
      <c r="Q216" s="93"/>
      <c r="R216" s="90">
        <v>62000</v>
      </c>
      <c r="S216" s="86">
        <f t="shared" si="6"/>
        <v>0</v>
      </c>
    </row>
    <row r="217" spans="3:19" x14ac:dyDescent="0.15">
      <c r="C217" s="52" t="s">
        <v>102</v>
      </c>
      <c r="D217" s="52"/>
      <c r="E217" s="91"/>
      <c r="F217" s="75">
        <f t="shared" si="7"/>
        <v>5678000</v>
      </c>
      <c r="G217" s="92"/>
      <c r="H217" s="90">
        <v>4444000</v>
      </c>
      <c r="I217" s="93"/>
      <c r="J217" s="90">
        <v>493000</v>
      </c>
      <c r="K217" s="93"/>
      <c r="L217" s="90">
        <v>741000</v>
      </c>
      <c r="M217" s="93"/>
      <c r="N217" s="90">
        <v>3875000</v>
      </c>
      <c r="O217" s="93"/>
      <c r="P217" s="90">
        <f>1804000-1000</f>
        <v>1803000</v>
      </c>
      <c r="Q217" s="93"/>
      <c r="R217" s="90">
        <v>0</v>
      </c>
      <c r="S217" s="86">
        <f t="shared" si="6"/>
        <v>0</v>
      </c>
    </row>
    <row r="218" spans="3:19" x14ac:dyDescent="0.15">
      <c r="C218" s="52" t="s">
        <v>103</v>
      </c>
      <c r="D218" s="52"/>
      <c r="E218" s="91"/>
      <c r="F218" s="75">
        <f t="shared" si="7"/>
        <v>16047000</v>
      </c>
      <c r="G218" s="92"/>
      <c r="H218" s="90">
        <v>13824000</v>
      </c>
      <c r="I218" s="93"/>
      <c r="J218" s="90">
        <v>979000</v>
      </c>
      <c r="K218" s="93"/>
      <c r="L218" s="90">
        <v>1244000</v>
      </c>
      <c r="M218" s="93"/>
      <c r="N218" s="90">
        <v>11280000</v>
      </c>
      <c r="O218" s="93"/>
      <c r="P218" s="90">
        <v>4767000</v>
      </c>
      <c r="Q218" s="93"/>
      <c r="R218" s="90">
        <v>0</v>
      </c>
      <c r="S218" s="86">
        <f t="shared" si="6"/>
        <v>0</v>
      </c>
    </row>
    <row r="219" spans="3:19" x14ac:dyDescent="0.15">
      <c r="C219" s="52" t="s">
        <v>104</v>
      </c>
      <c r="D219" s="52"/>
      <c r="E219" s="91"/>
      <c r="F219" s="75">
        <f t="shared" si="7"/>
        <v>322000</v>
      </c>
      <c r="G219" s="92"/>
      <c r="H219" s="90">
        <f>321000-1000</f>
        <v>320000</v>
      </c>
      <c r="I219" s="93"/>
      <c r="J219" s="90">
        <v>2000</v>
      </c>
      <c r="K219" s="93"/>
      <c r="L219" s="90">
        <v>0</v>
      </c>
      <c r="M219" s="93"/>
      <c r="N219" s="90">
        <v>227000</v>
      </c>
      <c r="O219" s="93"/>
      <c r="P219" s="90">
        <v>95000</v>
      </c>
      <c r="Q219" s="93"/>
      <c r="R219" s="90">
        <v>0</v>
      </c>
      <c r="S219" s="86">
        <f t="shared" si="6"/>
        <v>0</v>
      </c>
    </row>
    <row r="220" spans="3:19" x14ac:dyDescent="0.15">
      <c r="C220" s="52" t="s">
        <v>105</v>
      </c>
      <c r="D220" s="52"/>
      <c r="E220" s="91"/>
      <c r="F220" s="75">
        <f t="shared" si="7"/>
        <v>11687000</v>
      </c>
      <c r="G220" s="92"/>
      <c r="H220" s="90">
        <v>10743000</v>
      </c>
      <c r="I220" s="93"/>
      <c r="J220" s="90">
        <v>352000</v>
      </c>
      <c r="K220" s="93"/>
      <c r="L220" s="90">
        <v>592000</v>
      </c>
      <c r="M220" s="93"/>
      <c r="N220" s="90">
        <v>8034000</v>
      </c>
      <c r="O220" s="93"/>
      <c r="P220" s="90">
        <v>3653000</v>
      </c>
      <c r="Q220" s="93"/>
      <c r="R220" s="90">
        <v>0</v>
      </c>
      <c r="S220" s="86">
        <f t="shared" si="6"/>
        <v>0</v>
      </c>
    </row>
    <row r="221" spans="3:19" x14ac:dyDescent="0.15">
      <c r="C221" s="52" t="s">
        <v>106</v>
      </c>
      <c r="D221" s="52"/>
      <c r="E221" s="91"/>
      <c r="F221" s="75">
        <f t="shared" si="7"/>
        <v>5551000</v>
      </c>
      <c r="G221" s="92"/>
      <c r="H221" s="90">
        <v>4874000</v>
      </c>
      <c r="I221" s="93"/>
      <c r="J221" s="90">
        <v>574000</v>
      </c>
      <c r="K221" s="93"/>
      <c r="L221" s="90">
        <v>103000</v>
      </c>
      <c r="M221" s="93"/>
      <c r="N221" s="90">
        <v>3809000</v>
      </c>
      <c r="O221" s="93"/>
      <c r="P221" s="90">
        <v>1742000</v>
      </c>
      <c r="Q221" s="93"/>
      <c r="R221" s="90">
        <v>0</v>
      </c>
      <c r="S221" s="86">
        <f t="shared" si="6"/>
        <v>0</v>
      </c>
    </row>
    <row r="222" spans="3:19" x14ac:dyDescent="0.15">
      <c r="C222" s="52" t="s">
        <v>107</v>
      </c>
      <c r="D222" s="52"/>
      <c r="E222" s="91"/>
      <c r="F222" s="75">
        <f t="shared" si="7"/>
        <v>2128000</v>
      </c>
      <c r="G222" s="92"/>
      <c r="H222" s="90">
        <v>1977000</v>
      </c>
      <c r="I222" s="93"/>
      <c r="J222" s="90">
        <v>49000</v>
      </c>
      <c r="K222" s="93"/>
      <c r="L222" s="90">
        <v>102000</v>
      </c>
      <c r="M222" s="93"/>
      <c r="N222" s="90">
        <f>1454000+1000</f>
        <v>1455000</v>
      </c>
      <c r="O222" s="93"/>
      <c r="P222" s="90">
        <v>673000</v>
      </c>
      <c r="Q222" s="93"/>
      <c r="R222" s="90">
        <v>0</v>
      </c>
      <c r="S222" s="86">
        <f t="shared" si="6"/>
        <v>0</v>
      </c>
    </row>
    <row r="223" spans="3:19" x14ac:dyDescent="0.15">
      <c r="C223" s="52" t="s">
        <v>108</v>
      </c>
      <c r="D223" s="52"/>
      <c r="E223" s="91"/>
      <c r="F223" s="75">
        <f t="shared" si="7"/>
        <v>3480000</v>
      </c>
      <c r="G223" s="92"/>
      <c r="H223" s="90">
        <v>3060000</v>
      </c>
      <c r="I223" s="93"/>
      <c r="J223" s="90">
        <v>193000</v>
      </c>
      <c r="K223" s="93"/>
      <c r="L223" s="90">
        <v>227000</v>
      </c>
      <c r="M223" s="93"/>
      <c r="N223" s="90">
        <v>2317000</v>
      </c>
      <c r="O223" s="93"/>
      <c r="P223" s="90">
        <v>1163000</v>
      </c>
      <c r="Q223" s="93"/>
      <c r="R223" s="90">
        <v>0</v>
      </c>
      <c r="S223" s="86">
        <f t="shared" si="6"/>
        <v>0</v>
      </c>
    </row>
    <row r="224" spans="3:19" x14ac:dyDescent="0.15">
      <c r="C224" s="52" t="s">
        <v>109</v>
      </c>
      <c r="D224" s="52"/>
      <c r="E224" s="91"/>
      <c r="F224" s="75">
        <f t="shared" si="7"/>
        <v>3795000</v>
      </c>
      <c r="G224" s="92"/>
      <c r="H224" s="90">
        <v>3117000</v>
      </c>
      <c r="I224" s="93"/>
      <c r="J224" s="90">
        <f>504000-1000</f>
        <v>503000</v>
      </c>
      <c r="K224" s="93"/>
      <c r="L224" s="90">
        <v>175000</v>
      </c>
      <c r="M224" s="93"/>
      <c r="N224" s="90">
        <v>2398000</v>
      </c>
      <c r="O224" s="93"/>
      <c r="P224" s="90">
        <v>1397000</v>
      </c>
      <c r="Q224" s="93"/>
      <c r="R224" s="90">
        <v>0</v>
      </c>
      <c r="S224" s="86">
        <f t="shared" si="6"/>
        <v>0</v>
      </c>
    </row>
    <row r="225" spans="3:19" x14ac:dyDescent="0.15">
      <c r="C225" s="52" t="s">
        <v>110</v>
      </c>
      <c r="D225" s="52"/>
      <c r="E225" s="91"/>
      <c r="F225" s="75">
        <f t="shared" si="7"/>
        <v>2968000</v>
      </c>
      <c r="G225" s="92"/>
      <c r="H225" s="90">
        <v>2760000</v>
      </c>
      <c r="I225" s="93"/>
      <c r="J225" s="90">
        <v>81000</v>
      </c>
      <c r="K225" s="93"/>
      <c r="L225" s="90">
        <v>127000</v>
      </c>
      <c r="M225" s="93"/>
      <c r="N225" s="90">
        <v>2001000</v>
      </c>
      <c r="O225" s="93"/>
      <c r="P225" s="90">
        <v>967000</v>
      </c>
      <c r="Q225" s="93"/>
      <c r="R225" s="90">
        <v>0</v>
      </c>
      <c r="S225" s="86">
        <f t="shared" si="6"/>
        <v>0</v>
      </c>
    </row>
    <row r="226" spans="3:19" x14ac:dyDescent="0.15">
      <c r="C226" s="52" t="s">
        <v>111</v>
      </c>
      <c r="D226" s="52"/>
      <c r="E226" s="91"/>
      <c r="G226" s="69"/>
      <c r="H226" s="90"/>
      <c r="I226" s="90"/>
      <c r="J226" s="90"/>
      <c r="K226" s="90"/>
      <c r="L226" s="90"/>
      <c r="M226" s="90"/>
      <c r="N226" s="90"/>
      <c r="O226" s="90"/>
      <c r="P226" s="90"/>
      <c r="Q226" s="90"/>
      <c r="R226" s="90"/>
      <c r="S226" s="86">
        <f t="shared" si="6"/>
        <v>0</v>
      </c>
    </row>
    <row r="227" spans="3:19" x14ac:dyDescent="0.15">
      <c r="C227" s="86"/>
      <c r="D227" s="52"/>
      <c r="E227" s="91" t="s">
        <v>97</v>
      </c>
      <c r="F227" s="75">
        <f>SUM(H227:L227)</f>
        <v>540000</v>
      </c>
      <c r="G227" s="92"/>
      <c r="H227" s="90">
        <v>503000</v>
      </c>
      <c r="I227" s="93"/>
      <c r="J227" s="90">
        <v>13000</v>
      </c>
      <c r="K227" s="93"/>
      <c r="L227" s="90">
        <v>24000</v>
      </c>
      <c r="M227" s="93"/>
      <c r="N227" s="90">
        <v>356000</v>
      </c>
      <c r="O227" s="93"/>
      <c r="P227" s="90">
        <f>185000-1000</f>
        <v>184000</v>
      </c>
      <c r="Q227" s="93"/>
      <c r="R227" s="90">
        <v>0</v>
      </c>
      <c r="S227" s="86">
        <f t="shared" si="6"/>
        <v>0</v>
      </c>
    </row>
    <row r="228" spans="3:19" x14ac:dyDescent="0.15">
      <c r="C228" s="52" t="s">
        <v>112</v>
      </c>
      <c r="D228" s="52"/>
      <c r="E228" s="91"/>
      <c r="F228" s="75">
        <f>SUM(H228:L228)</f>
        <v>11645000</v>
      </c>
      <c r="G228" s="92"/>
      <c r="H228" s="90">
        <v>10392000</v>
      </c>
      <c r="I228" s="93"/>
      <c r="J228" s="90">
        <v>392000</v>
      </c>
      <c r="K228" s="93"/>
      <c r="L228" s="90">
        <v>861000</v>
      </c>
      <c r="M228" s="93"/>
      <c r="N228" s="90">
        <v>7823000</v>
      </c>
      <c r="O228" s="93"/>
      <c r="P228" s="90">
        <v>3822000</v>
      </c>
      <c r="Q228" s="93"/>
      <c r="R228" s="90">
        <v>0</v>
      </c>
      <c r="S228" s="86">
        <f t="shared" si="6"/>
        <v>0</v>
      </c>
    </row>
    <row r="229" spans="3:19" x14ac:dyDescent="0.15">
      <c r="C229" s="52" t="s">
        <v>114</v>
      </c>
      <c r="D229" s="52"/>
      <c r="E229" s="91"/>
      <c r="F229" s="75">
        <f>SUM(H229:L229)</f>
        <v>12379000</v>
      </c>
      <c r="G229" s="92"/>
      <c r="H229" s="90">
        <v>9860000</v>
      </c>
      <c r="I229" s="93"/>
      <c r="J229" s="90">
        <v>1413000</v>
      </c>
      <c r="K229" s="93"/>
      <c r="L229" s="90">
        <v>1106000</v>
      </c>
      <c r="M229" s="93"/>
      <c r="N229" s="90">
        <v>8003000</v>
      </c>
      <c r="O229" s="93"/>
      <c r="P229" s="90">
        <v>4376000</v>
      </c>
      <c r="Q229" s="93"/>
      <c r="R229" s="90">
        <v>0</v>
      </c>
      <c r="S229" s="86">
        <f t="shared" si="6"/>
        <v>0</v>
      </c>
    </row>
    <row r="230" spans="3:19" x14ac:dyDescent="0.15">
      <c r="C230" s="52" t="s">
        <v>115</v>
      </c>
      <c r="D230" s="52"/>
      <c r="E230" s="91"/>
      <c r="G230" s="69"/>
      <c r="H230" s="90"/>
      <c r="I230" s="90"/>
      <c r="J230" s="90"/>
      <c r="K230" s="90"/>
      <c r="L230" s="90"/>
      <c r="M230" s="90"/>
      <c r="N230" s="90"/>
      <c r="O230" s="90"/>
      <c r="P230" s="90"/>
      <c r="Q230" s="90"/>
      <c r="R230" s="90"/>
      <c r="S230" s="86">
        <f t="shared" si="6"/>
        <v>0</v>
      </c>
    </row>
    <row r="231" spans="3:19" x14ac:dyDescent="0.15">
      <c r="C231" s="86"/>
      <c r="D231" s="52"/>
      <c r="E231" s="91" t="s">
        <v>116</v>
      </c>
      <c r="F231" s="75">
        <f>SUM(H231:L231)</f>
        <v>3107000</v>
      </c>
      <c r="G231" s="92"/>
      <c r="H231" s="90">
        <v>2846000</v>
      </c>
      <c r="I231" s="93"/>
      <c r="J231" s="90">
        <v>193000</v>
      </c>
      <c r="K231" s="93"/>
      <c r="L231" s="90">
        <v>68000</v>
      </c>
      <c r="M231" s="93"/>
      <c r="N231" s="90">
        <v>1956000</v>
      </c>
      <c r="O231" s="93"/>
      <c r="P231" s="90">
        <v>1151000</v>
      </c>
      <c r="Q231" s="93"/>
      <c r="R231" s="90">
        <v>0</v>
      </c>
      <c r="S231" s="86">
        <f t="shared" si="6"/>
        <v>0</v>
      </c>
    </row>
    <row r="232" spans="3:19" x14ac:dyDescent="0.15">
      <c r="C232" s="52" t="s">
        <v>117</v>
      </c>
      <c r="D232" s="52"/>
      <c r="E232" s="91"/>
      <c r="F232" s="75">
        <f>SUM(H232:L232)</f>
        <v>1693000</v>
      </c>
      <c r="G232" s="92"/>
      <c r="H232" s="90">
        <f>1384000+1000</f>
        <v>1385000</v>
      </c>
      <c r="I232" s="93"/>
      <c r="J232" s="90">
        <v>133000</v>
      </c>
      <c r="K232" s="93"/>
      <c r="L232" s="90">
        <v>175000</v>
      </c>
      <c r="M232" s="93"/>
      <c r="N232" s="90">
        <v>1124000</v>
      </c>
      <c r="O232" s="93"/>
      <c r="P232" s="90">
        <v>569000</v>
      </c>
      <c r="Q232" s="93"/>
      <c r="R232" s="90">
        <v>0</v>
      </c>
      <c r="S232" s="86">
        <f t="shared" si="6"/>
        <v>0</v>
      </c>
    </row>
    <row r="233" spans="3:19" x14ac:dyDescent="0.15">
      <c r="C233" s="52" t="s">
        <v>118</v>
      </c>
      <c r="D233" s="52"/>
      <c r="E233" s="91"/>
      <c r="G233" s="69"/>
      <c r="H233" s="90"/>
      <c r="I233" s="90"/>
      <c r="J233" s="90"/>
      <c r="K233" s="90"/>
      <c r="L233" s="90"/>
      <c r="M233" s="90"/>
      <c r="N233" s="90"/>
      <c r="O233" s="90"/>
      <c r="P233" s="90"/>
      <c r="Q233" s="90"/>
      <c r="R233" s="90"/>
      <c r="S233" s="86">
        <f t="shared" si="6"/>
        <v>0</v>
      </c>
    </row>
    <row r="234" spans="3:19" x14ac:dyDescent="0.15">
      <c r="C234" s="86"/>
      <c r="D234" s="52"/>
      <c r="E234" s="91" t="s">
        <v>97</v>
      </c>
      <c r="F234" s="75">
        <f t="shared" ref="F234:F249" si="8">SUM(H234:L234)</f>
        <v>354000</v>
      </c>
      <c r="G234" s="92"/>
      <c r="H234" s="90">
        <v>347000</v>
      </c>
      <c r="I234" s="93"/>
      <c r="J234" s="90">
        <v>7000</v>
      </c>
      <c r="K234" s="93"/>
      <c r="L234" s="90">
        <v>0</v>
      </c>
      <c r="M234" s="93"/>
      <c r="N234" s="90">
        <v>244000</v>
      </c>
      <c r="O234" s="93"/>
      <c r="P234" s="90">
        <v>110000</v>
      </c>
      <c r="Q234" s="93"/>
      <c r="R234" s="90">
        <v>0</v>
      </c>
      <c r="S234" s="86">
        <f t="shared" si="6"/>
        <v>0</v>
      </c>
    </row>
    <row r="235" spans="3:19" x14ac:dyDescent="0.15">
      <c r="C235" s="52" t="s">
        <v>119</v>
      </c>
      <c r="D235" s="52"/>
      <c r="E235" s="91"/>
      <c r="F235" s="75">
        <f t="shared" si="8"/>
        <v>363000</v>
      </c>
      <c r="G235" s="92"/>
      <c r="H235" s="90">
        <v>95000</v>
      </c>
      <c r="I235" s="93"/>
      <c r="J235" s="90">
        <f>187000-1000</f>
        <v>186000</v>
      </c>
      <c r="K235" s="93"/>
      <c r="L235" s="90">
        <v>82000</v>
      </c>
      <c r="M235" s="93"/>
      <c r="N235" s="90">
        <v>222000</v>
      </c>
      <c r="O235" s="93"/>
      <c r="P235" s="90">
        <v>141000</v>
      </c>
      <c r="Q235" s="93"/>
      <c r="R235" s="90">
        <v>0</v>
      </c>
      <c r="S235" s="86">
        <f t="shared" si="6"/>
        <v>0</v>
      </c>
    </row>
    <row r="236" spans="3:19" x14ac:dyDescent="0.15">
      <c r="C236" s="52" t="s">
        <v>120</v>
      </c>
      <c r="D236" s="52"/>
      <c r="E236" s="91"/>
      <c r="F236" s="75">
        <f t="shared" si="8"/>
        <v>1238000</v>
      </c>
      <c r="G236" s="92"/>
      <c r="H236" s="90">
        <v>976000</v>
      </c>
      <c r="I236" s="93"/>
      <c r="J236" s="90">
        <v>132000</v>
      </c>
      <c r="K236" s="93"/>
      <c r="L236" s="90">
        <v>130000</v>
      </c>
      <c r="M236" s="93"/>
      <c r="N236" s="90">
        <v>700000</v>
      </c>
      <c r="O236" s="93"/>
      <c r="P236" s="90">
        <v>547000</v>
      </c>
      <c r="Q236" s="93"/>
      <c r="R236" s="90">
        <v>9000</v>
      </c>
      <c r="S236" s="86">
        <f t="shared" si="6"/>
        <v>0</v>
      </c>
    </row>
    <row r="237" spans="3:19" x14ac:dyDescent="0.15">
      <c r="C237" s="52" t="s">
        <v>121</v>
      </c>
      <c r="D237" s="52"/>
      <c r="E237" s="91"/>
      <c r="F237" s="75">
        <f t="shared" si="8"/>
        <v>3180000</v>
      </c>
      <c r="G237" s="92"/>
      <c r="H237" s="90">
        <v>2776000</v>
      </c>
      <c r="I237" s="93"/>
      <c r="J237" s="90">
        <v>224000</v>
      </c>
      <c r="K237" s="93"/>
      <c r="L237" s="90">
        <v>180000</v>
      </c>
      <c r="M237" s="93"/>
      <c r="N237" s="90">
        <v>2074000</v>
      </c>
      <c r="O237" s="93"/>
      <c r="P237" s="90">
        <v>1106000</v>
      </c>
      <c r="Q237" s="93"/>
      <c r="R237" s="90">
        <v>0</v>
      </c>
      <c r="S237" s="86">
        <f t="shared" si="6"/>
        <v>0</v>
      </c>
    </row>
    <row r="238" spans="3:19" x14ac:dyDescent="0.15">
      <c r="C238" s="52" t="s">
        <v>122</v>
      </c>
      <c r="D238" s="52"/>
      <c r="E238" s="91"/>
      <c r="F238" s="75">
        <f t="shared" si="8"/>
        <v>16966000</v>
      </c>
      <c r="G238" s="92"/>
      <c r="H238" s="90">
        <v>14228000</v>
      </c>
      <c r="I238" s="93"/>
      <c r="J238" s="90">
        <v>2222000</v>
      </c>
      <c r="K238" s="93"/>
      <c r="L238" s="90">
        <v>516000</v>
      </c>
      <c r="M238" s="93"/>
      <c r="N238" s="90">
        <v>11684000</v>
      </c>
      <c r="O238" s="93"/>
      <c r="P238" s="90">
        <v>5282000</v>
      </c>
      <c r="Q238" s="93"/>
      <c r="R238" s="90">
        <v>0</v>
      </c>
      <c r="S238" s="86">
        <f t="shared" si="6"/>
        <v>0</v>
      </c>
    </row>
    <row r="239" spans="3:19" x14ac:dyDescent="0.15">
      <c r="C239" s="52" t="s">
        <v>123</v>
      </c>
      <c r="D239" s="52"/>
      <c r="E239" s="91"/>
      <c r="F239" s="75">
        <f t="shared" si="8"/>
        <v>34000</v>
      </c>
      <c r="G239" s="92"/>
      <c r="H239" s="90">
        <v>25000</v>
      </c>
      <c r="I239" s="93"/>
      <c r="J239" s="90">
        <v>0</v>
      </c>
      <c r="K239" s="93"/>
      <c r="L239" s="90">
        <v>9000</v>
      </c>
      <c r="M239" s="93"/>
      <c r="N239" s="90">
        <v>11000</v>
      </c>
      <c r="O239" s="93"/>
      <c r="P239" s="90">
        <f>22000+1000</f>
        <v>23000</v>
      </c>
      <c r="Q239" s="93"/>
      <c r="R239" s="90">
        <v>0</v>
      </c>
      <c r="S239" s="86">
        <f t="shared" si="6"/>
        <v>0</v>
      </c>
    </row>
    <row r="240" spans="3:19" x14ac:dyDescent="0.15">
      <c r="C240" s="52" t="s">
        <v>125</v>
      </c>
      <c r="D240" s="52"/>
      <c r="E240" s="91"/>
      <c r="F240" s="75">
        <f t="shared" si="8"/>
        <v>22835000</v>
      </c>
      <c r="G240" s="92"/>
      <c r="H240" s="90">
        <v>15176000</v>
      </c>
      <c r="I240" s="93"/>
      <c r="J240" s="90">
        <v>4607000</v>
      </c>
      <c r="K240" s="93"/>
      <c r="L240" s="90">
        <v>3052000</v>
      </c>
      <c r="M240" s="93"/>
      <c r="N240" s="90">
        <v>12634000</v>
      </c>
      <c r="O240" s="93"/>
      <c r="P240" s="90">
        <v>10201000</v>
      </c>
      <c r="Q240" s="93"/>
      <c r="R240" s="90">
        <v>0</v>
      </c>
      <c r="S240" s="86">
        <f t="shared" si="6"/>
        <v>0</v>
      </c>
    </row>
    <row r="241" spans="3:19" x14ac:dyDescent="0.15">
      <c r="C241" s="52" t="s">
        <v>126</v>
      </c>
      <c r="D241" s="52"/>
      <c r="E241" s="91"/>
      <c r="F241" s="75">
        <f t="shared" si="8"/>
        <v>5983000</v>
      </c>
      <c r="G241" s="92"/>
      <c r="H241" s="90">
        <v>4678000</v>
      </c>
      <c r="I241" s="93"/>
      <c r="J241" s="90">
        <v>413000</v>
      </c>
      <c r="K241" s="93"/>
      <c r="L241" s="90">
        <v>892000</v>
      </c>
      <c r="M241" s="93"/>
      <c r="N241" s="90">
        <v>3907000</v>
      </c>
      <c r="O241" s="93"/>
      <c r="P241" s="90">
        <f>2077000-1000</f>
        <v>2076000</v>
      </c>
      <c r="Q241" s="93"/>
      <c r="R241" s="90">
        <v>0</v>
      </c>
      <c r="S241" s="86">
        <f t="shared" si="6"/>
        <v>0</v>
      </c>
    </row>
    <row r="242" spans="3:19" x14ac:dyDescent="0.15">
      <c r="C242" s="52" t="s">
        <v>127</v>
      </c>
      <c r="D242" s="52"/>
      <c r="E242" s="91"/>
      <c r="F242" s="75">
        <f t="shared" si="8"/>
        <v>3101000</v>
      </c>
      <c r="G242" s="92"/>
      <c r="H242" s="90">
        <v>2709000</v>
      </c>
      <c r="I242" s="93"/>
      <c r="J242" s="90">
        <v>126000</v>
      </c>
      <c r="K242" s="93"/>
      <c r="L242" s="90">
        <v>266000</v>
      </c>
      <c r="M242" s="93"/>
      <c r="N242" s="90">
        <v>2078000</v>
      </c>
      <c r="O242" s="93"/>
      <c r="P242" s="90">
        <v>1023000</v>
      </c>
      <c r="Q242" s="93"/>
      <c r="R242" s="90">
        <v>0</v>
      </c>
      <c r="S242" s="86">
        <f t="shared" si="6"/>
        <v>0</v>
      </c>
    </row>
    <row r="243" spans="3:19" x14ac:dyDescent="0.15">
      <c r="C243" s="52" t="s">
        <v>128</v>
      </c>
      <c r="D243" s="52"/>
      <c r="E243" s="91"/>
      <c r="F243" s="75">
        <f t="shared" si="8"/>
        <v>5563000</v>
      </c>
      <c r="G243" s="92"/>
      <c r="H243" s="90">
        <v>4742000</v>
      </c>
      <c r="I243" s="93"/>
      <c r="J243" s="90">
        <v>261000</v>
      </c>
      <c r="K243" s="93"/>
      <c r="L243" s="90">
        <v>560000</v>
      </c>
      <c r="M243" s="93"/>
      <c r="N243" s="90">
        <v>3882000</v>
      </c>
      <c r="O243" s="93"/>
      <c r="P243" s="90">
        <v>1681000</v>
      </c>
      <c r="Q243" s="93"/>
      <c r="R243" s="90">
        <v>0</v>
      </c>
      <c r="S243" s="86">
        <f t="shared" si="6"/>
        <v>0</v>
      </c>
    </row>
    <row r="244" spans="3:19" ht="12" customHeight="1" x14ac:dyDescent="0.15">
      <c r="C244" s="52" t="s">
        <v>129</v>
      </c>
      <c r="D244" s="52"/>
      <c r="E244" s="91"/>
      <c r="F244" s="75">
        <f t="shared" si="8"/>
        <v>1375000</v>
      </c>
      <c r="G244" s="92"/>
      <c r="H244" s="90">
        <v>1164000</v>
      </c>
      <c r="I244" s="93"/>
      <c r="J244" s="90">
        <v>138000</v>
      </c>
      <c r="K244" s="93"/>
      <c r="L244" s="90">
        <v>73000</v>
      </c>
      <c r="M244" s="93"/>
      <c r="N244" s="90">
        <v>973000</v>
      </c>
      <c r="O244" s="93"/>
      <c r="P244" s="90">
        <v>402000</v>
      </c>
      <c r="Q244" s="93"/>
      <c r="R244" s="90">
        <v>0</v>
      </c>
      <c r="S244" s="86">
        <f t="shared" si="6"/>
        <v>0</v>
      </c>
    </row>
    <row r="245" spans="3:19" x14ac:dyDescent="0.15">
      <c r="C245" s="52" t="s">
        <v>130</v>
      </c>
      <c r="D245" s="52"/>
      <c r="E245" s="91"/>
      <c r="F245" s="75">
        <f t="shared" si="8"/>
        <v>1071000</v>
      </c>
      <c r="G245" s="92"/>
      <c r="H245" s="90">
        <v>430000</v>
      </c>
      <c r="I245" s="93"/>
      <c r="J245" s="90">
        <v>20000</v>
      </c>
      <c r="K245" s="93"/>
      <c r="L245" s="90">
        <v>621000</v>
      </c>
      <c r="M245" s="93"/>
      <c r="N245" s="90">
        <v>632000</v>
      </c>
      <c r="O245" s="93"/>
      <c r="P245" s="90">
        <v>439000</v>
      </c>
      <c r="Q245" s="93"/>
      <c r="R245" s="90">
        <v>0</v>
      </c>
      <c r="S245" s="86">
        <f t="shared" si="6"/>
        <v>0</v>
      </c>
    </row>
    <row r="246" spans="3:19" x14ac:dyDescent="0.15">
      <c r="C246" s="52" t="s">
        <v>131</v>
      </c>
      <c r="D246" s="52"/>
      <c r="E246" s="91"/>
      <c r="F246" s="75">
        <f t="shared" si="8"/>
        <v>16263000</v>
      </c>
      <c r="G246" s="92"/>
      <c r="H246" s="90">
        <v>13575000</v>
      </c>
      <c r="I246" s="93"/>
      <c r="J246" s="90">
        <f>1486000-1000</f>
        <v>1485000</v>
      </c>
      <c r="K246" s="93"/>
      <c r="L246" s="90">
        <v>1203000</v>
      </c>
      <c r="M246" s="93"/>
      <c r="N246" s="90">
        <v>10197000</v>
      </c>
      <c r="O246" s="93"/>
      <c r="P246" s="90">
        <v>6406000</v>
      </c>
      <c r="Q246" s="93"/>
      <c r="R246" s="90">
        <v>340000</v>
      </c>
      <c r="S246" s="86">
        <f t="shared" si="6"/>
        <v>0</v>
      </c>
    </row>
    <row r="247" spans="3:19" x14ac:dyDescent="0.15">
      <c r="C247" s="52" t="s">
        <v>132</v>
      </c>
      <c r="D247" s="52"/>
      <c r="E247" s="91"/>
      <c r="F247" s="75">
        <f t="shared" si="8"/>
        <v>11327000</v>
      </c>
      <c r="G247" s="92"/>
      <c r="H247" s="90">
        <v>9517000</v>
      </c>
      <c r="I247" s="93"/>
      <c r="J247" s="90">
        <v>695000</v>
      </c>
      <c r="K247" s="93"/>
      <c r="L247" s="90">
        <v>1115000</v>
      </c>
      <c r="M247" s="93"/>
      <c r="N247" s="90">
        <v>7754000</v>
      </c>
      <c r="O247" s="93"/>
      <c r="P247" s="90">
        <v>3573000</v>
      </c>
      <c r="Q247" s="93"/>
      <c r="R247" s="90">
        <v>0</v>
      </c>
      <c r="S247" s="86">
        <f t="shared" si="6"/>
        <v>0</v>
      </c>
    </row>
    <row r="248" spans="3:19" x14ac:dyDescent="0.15">
      <c r="C248" s="52" t="s">
        <v>133</v>
      </c>
      <c r="D248" s="52"/>
      <c r="E248" s="91"/>
      <c r="F248" s="75">
        <f t="shared" si="8"/>
        <v>9800000</v>
      </c>
      <c r="G248" s="92"/>
      <c r="H248" s="90">
        <v>8978000</v>
      </c>
      <c r="I248" s="93"/>
      <c r="J248" s="90">
        <v>700000</v>
      </c>
      <c r="K248" s="93"/>
      <c r="L248" s="90">
        <v>122000</v>
      </c>
      <c r="M248" s="93"/>
      <c r="N248" s="90">
        <v>6628000</v>
      </c>
      <c r="O248" s="93"/>
      <c r="P248" s="90">
        <v>3172000</v>
      </c>
      <c r="Q248" s="93"/>
      <c r="R248" s="90">
        <v>0</v>
      </c>
      <c r="S248" s="86">
        <f t="shared" si="6"/>
        <v>0</v>
      </c>
    </row>
    <row r="249" spans="3:19" x14ac:dyDescent="0.15">
      <c r="C249" s="52" t="s">
        <v>134</v>
      </c>
      <c r="D249" s="52"/>
      <c r="E249" s="91"/>
      <c r="F249" s="75">
        <f t="shared" si="8"/>
        <v>2763000</v>
      </c>
      <c r="G249" s="92"/>
      <c r="H249" s="90">
        <v>2334000</v>
      </c>
      <c r="I249" s="93"/>
      <c r="J249" s="90">
        <v>283000</v>
      </c>
      <c r="K249" s="93"/>
      <c r="L249" s="90">
        <v>146000</v>
      </c>
      <c r="M249" s="93"/>
      <c r="N249" s="90">
        <v>1809000</v>
      </c>
      <c r="O249" s="93"/>
      <c r="P249" s="90">
        <v>954000</v>
      </c>
      <c r="Q249" s="93"/>
      <c r="R249" s="90">
        <v>0</v>
      </c>
      <c r="S249" s="86">
        <f t="shared" si="6"/>
        <v>0</v>
      </c>
    </row>
    <row r="250" spans="3:19" x14ac:dyDescent="0.15">
      <c r="C250" s="52" t="s">
        <v>135</v>
      </c>
      <c r="D250" s="52"/>
      <c r="E250" s="91"/>
      <c r="G250" s="69"/>
      <c r="H250" s="90"/>
      <c r="I250" s="90"/>
      <c r="J250" s="90"/>
      <c r="K250" s="90"/>
      <c r="L250" s="90"/>
      <c r="M250" s="90"/>
      <c r="N250" s="90"/>
      <c r="O250" s="90"/>
      <c r="P250" s="90"/>
      <c r="Q250" s="90"/>
      <c r="R250" s="90"/>
      <c r="S250" s="86">
        <f t="shared" si="6"/>
        <v>0</v>
      </c>
    </row>
    <row r="251" spans="3:19" x14ac:dyDescent="0.15">
      <c r="C251" s="86"/>
      <c r="D251" s="52"/>
      <c r="E251" s="91" t="s">
        <v>97</v>
      </c>
      <c r="F251" s="75">
        <f t="shared" ref="F251:F260" si="9">SUM(H251:L251)</f>
        <v>407000</v>
      </c>
      <c r="G251" s="92"/>
      <c r="H251" s="90">
        <f>406000+1000</f>
        <v>407000</v>
      </c>
      <c r="I251" s="93"/>
      <c r="J251" s="90">
        <v>0</v>
      </c>
      <c r="K251" s="93"/>
      <c r="L251" s="90">
        <v>0</v>
      </c>
      <c r="M251" s="93"/>
      <c r="N251" s="90">
        <v>291000</v>
      </c>
      <c r="O251" s="93"/>
      <c r="P251" s="90">
        <v>116000</v>
      </c>
      <c r="Q251" s="93"/>
      <c r="R251" s="90">
        <v>0</v>
      </c>
      <c r="S251" s="86">
        <f t="shared" si="6"/>
        <v>0</v>
      </c>
    </row>
    <row r="252" spans="3:19" x14ac:dyDescent="0.15">
      <c r="C252" s="52" t="s">
        <v>136</v>
      </c>
      <c r="D252" s="52"/>
      <c r="E252" s="91"/>
      <c r="F252" s="75">
        <f t="shared" si="9"/>
        <v>321000</v>
      </c>
      <c r="G252" s="92"/>
      <c r="H252" s="90">
        <v>228000</v>
      </c>
      <c r="I252" s="93"/>
      <c r="J252" s="90">
        <v>0</v>
      </c>
      <c r="K252" s="93"/>
      <c r="L252" s="90">
        <v>93000</v>
      </c>
      <c r="M252" s="93"/>
      <c r="N252" s="90">
        <v>126000</v>
      </c>
      <c r="O252" s="93"/>
      <c r="P252" s="90">
        <v>195000</v>
      </c>
      <c r="Q252" s="93"/>
      <c r="R252" s="90">
        <v>0</v>
      </c>
      <c r="S252" s="86">
        <f t="shared" si="6"/>
        <v>0</v>
      </c>
    </row>
    <row r="253" spans="3:19" x14ac:dyDescent="0.15">
      <c r="C253" s="52" t="s">
        <v>137</v>
      </c>
      <c r="D253" s="52"/>
      <c r="E253" s="91"/>
      <c r="F253" s="75">
        <f t="shared" si="9"/>
        <v>1492000</v>
      </c>
      <c r="G253" s="92"/>
      <c r="H253" s="90">
        <v>1272000</v>
      </c>
      <c r="I253" s="93"/>
      <c r="J253" s="90">
        <v>127000</v>
      </c>
      <c r="K253" s="93"/>
      <c r="L253" s="90">
        <v>93000</v>
      </c>
      <c r="M253" s="93"/>
      <c r="N253" s="90">
        <v>985000</v>
      </c>
      <c r="O253" s="93"/>
      <c r="P253" s="90">
        <v>507000</v>
      </c>
      <c r="Q253" s="93"/>
      <c r="R253" s="90">
        <v>0</v>
      </c>
      <c r="S253" s="86">
        <f t="shared" si="6"/>
        <v>0</v>
      </c>
    </row>
    <row r="254" spans="3:19" x14ac:dyDescent="0.15">
      <c r="C254" s="52" t="s">
        <v>138</v>
      </c>
      <c r="D254" s="52"/>
      <c r="E254" s="91"/>
      <c r="F254" s="75">
        <f t="shared" si="9"/>
        <v>1995000</v>
      </c>
      <c r="G254" s="92"/>
      <c r="H254" s="90">
        <v>1767000</v>
      </c>
      <c r="I254" s="93"/>
      <c r="J254" s="90">
        <v>34000</v>
      </c>
      <c r="K254" s="93"/>
      <c r="L254" s="90">
        <f>195000-1000</f>
        <v>194000</v>
      </c>
      <c r="M254" s="93"/>
      <c r="N254" s="90">
        <v>1404000</v>
      </c>
      <c r="O254" s="93"/>
      <c r="P254" s="90">
        <v>591000</v>
      </c>
      <c r="Q254" s="93"/>
      <c r="R254" s="90">
        <v>0</v>
      </c>
      <c r="S254" s="86">
        <f t="shared" si="6"/>
        <v>0</v>
      </c>
    </row>
    <row r="255" spans="3:19" x14ac:dyDescent="0.15">
      <c r="C255" s="52" t="s">
        <v>139</v>
      </c>
      <c r="D255" s="52"/>
      <c r="E255" s="91"/>
      <c r="F255" s="75">
        <f t="shared" si="9"/>
        <v>582000</v>
      </c>
      <c r="G255" s="92"/>
      <c r="H255" s="90">
        <v>522000</v>
      </c>
      <c r="I255" s="93"/>
      <c r="J255" s="90">
        <v>6000</v>
      </c>
      <c r="K255" s="93"/>
      <c r="L255" s="90">
        <f>55000-1000</f>
        <v>54000</v>
      </c>
      <c r="M255" s="93"/>
      <c r="N255" s="90">
        <v>109000</v>
      </c>
      <c r="O255" s="93"/>
      <c r="P255" s="90">
        <v>473000</v>
      </c>
      <c r="Q255" s="93"/>
      <c r="R255" s="90">
        <v>0</v>
      </c>
      <c r="S255" s="86">
        <f t="shared" si="6"/>
        <v>0</v>
      </c>
    </row>
    <row r="256" spans="3:19" x14ac:dyDescent="0.15">
      <c r="C256" s="52" t="s">
        <v>141</v>
      </c>
      <c r="D256" s="52"/>
      <c r="E256" s="91"/>
      <c r="F256" s="75">
        <f t="shared" si="9"/>
        <v>10179000</v>
      </c>
      <c r="G256" s="92"/>
      <c r="H256" s="90">
        <v>8094000</v>
      </c>
      <c r="I256" s="93"/>
      <c r="J256" s="90">
        <v>1940000</v>
      </c>
      <c r="K256" s="93"/>
      <c r="L256" s="90">
        <f>146000-1000</f>
        <v>145000</v>
      </c>
      <c r="M256" s="93"/>
      <c r="N256" s="90">
        <v>6628000</v>
      </c>
      <c r="O256" s="93"/>
      <c r="P256" s="90">
        <f>3552000-1000</f>
        <v>3551000</v>
      </c>
      <c r="Q256" s="93"/>
      <c r="R256" s="90">
        <v>0</v>
      </c>
      <c r="S256" s="86">
        <f t="shared" si="6"/>
        <v>0</v>
      </c>
    </row>
    <row r="257" spans="2:19" x14ac:dyDescent="0.15">
      <c r="C257" s="52" t="s">
        <v>142</v>
      </c>
      <c r="D257" s="52"/>
      <c r="E257" s="91"/>
      <c r="F257" s="75">
        <f t="shared" si="9"/>
        <v>2657000</v>
      </c>
      <c r="G257" s="92"/>
      <c r="H257" s="90">
        <v>1996000</v>
      </c>
      <c r="I257" s="93"/>
      <c r="J257" s="90">
        <f>258000+1000</f>
        <v>259000</v>
      </c>
      <c r="K257" s="93"/>
      <c r="L257" s="90">
        <v>402000</v>
      </c>
      <c r="M257" s="93"/>
      <c r="N257" s="90">
        <v>1844000</v>
      </c>
      <c r="O257" s="93"/>
      <c r="P257" s="90">
        <v>813000</v>
      </c>
      <c r="Q257" s="93"/>
      <c r="R257" s="90">
        <v>0</v>
      </c>
      <c r="S257" s="86">
        <f t="shared" si="6"/>
        <v>0</v>
      </c>
    </row>
    <row r="258" spans="2:19" x14ac:dyDescent="0.15">
      <c r="C258" s="52" t="s">
        <v>143</v>
      </c>
      <c r="D258" s="52"/>
      <c r="E258" s="91"/>
      <c r="F258" s="75">
        <f t="shared" si="9"/>
        <v>3578000</v>
      </c>
      <c r="G258" s="92"/>
      <c r="H258" s="90">
        <f>3073000-1000</f>
        <v>3072000</v>
      </c>
      <c r="I258" s="93"/>
      <c r="J258" s="90">
        <v>401000</v>
      </c>
      <c r="K258" s="93"/>
      <c r="L258" s="90">
        <v>105000</v>
      </c>
      <c r="M258" s="93"/>
      <c r="N258" s="90">
        <v>2425000</v>
      </c>
      <c r="O258" s="93"/>
      <c r="P258" s="90">
        <v>1153000</v>
      </c>
      <c r="Q258" s="93"/>
      <c r="R258" s="90">
        <v>0</v>
      </c>
      <c r="S258" s="86">
        <f t="shared" si="6"/>
        <v>0</v>
      </c>
    </row>
    <row r="259" spans="2:19" x14ac:dyDescent="0.15">
      <c r="C259" s="52" t="s">
        <v>144</v>
      </c>
      <c r="D259" s="52"/>
      <c r="E259" s="91"/>
      <c r="F259" s="75">
        <f t="shared" si="9"/>
        <v>6527000</v>
      </c>
      <c r="G259" s="92"/>
      <c r="H259" s="90">
        <f>5773000-1000</f>
        <v>5772000</v>
      </c>
      <c r="I259" s="93"/>
      <c r="J259" s="90">
        <v>555000</v>
      </c>
      <c r="K259" s="93"/>
      <c r="L259" s="90">
        <f>199000+1000</f>
        <v>200000</v>
      </c>
      <c r="M259" s="93"/>
      <c r="N259" s="90">
        <v>4360000</v>
      </c>
      <c r="O259" s="93"/>
      <c r="P259" s="90">
        <v>2185000</v>
      </c>
      <c r="Q259" s="93"/>
      <c r="R259" s="90">
        <v>18000</v>
      </c>
      <c r="S259" s="86">
        <f t="shared" si="6"/>
        <v>0</v>
      </c>
    </row>
    <row r="260" spans="2:19" x14ac:dyDescent="0.15">
      <c r="C260" s="52" t="s">
        <v>146</v>
      </c>
      <c r="D260" s="52"/>
      <c r="E260" s="91"/>
      <c r="F260" s="75">
        <f t="shared" si="9"/>
        <v>2667000</v>
      </c>
      <c r="G260" s="92"/>
      <c r="H260" s="90">
        <v>2572000</v>
      </c>
      <c r="I260" s="93"/>
      <c r="J260" s="90">
        <v>86000</v>
      </c>
      <c r="K260" s="93"/>
      <c r="L260" s="90">
        <v>9000</v>
      </c>
      <c r="M260" s="93"/>
      <c r="N260" s="90">
        <f>1813000-1000</f>
        <v>1812000</v>
      </c>
      <c r="O260" s="93"/>
      <c r="P260" s="90">
        <v>855000</v>
      </c>
      <c r="Q260" s="93"/>
      <c r="R260" s="90">
        <v>0</v>
      </c>
      <c r="S260" s="86">
        <f t="shared" si="6"/>
        <v>0</v>
      </c>
    </row>
    <row r="261" spans="2:19" x14ac:dyDescent="0.15">
      <c r="C261" s="52" t="s">
        <v>147</v>
      </c>
      <c r="D261" s="52"/>
      <c r="E261" s="91"/>
      <c r="G261" s="92"/>
      <c r="H261" s="90"/>
      <c r="I261" s="93"/>
      <c r="J261" s="90"/>
      <c r="K261" s="93"/>
      <c r="L261" s="90"/>
      <c r="M261" s="93"/>
      <c r="N261" s="90"/>
      <c r="O261" s="93"/>
      <c r="P261" s="90"/>
      <c r="Q261" s="93"/>
      <c r="R261" s="90"/>
      <c r="S261" s="86">
        <f t="shared" si="6"/>
        <v>0</v>
      </c>
    </row>
    <row r="262" spans="2:19" x14ac:dyDescent="0.15">
      <c r="E262" s="52" t="s">
        <v>148</v>
      </c>
      <c r="F262" s="75">
        <f>SUM(H262:L262)</f>
        <v>6233000</v>
      </c>
      <c r="G262" s="92"/>
      <c r="H262" s="90">
        <f>4697000</f>
        <v>4697000</v>
      </c>
      <c r="I262" s="93"/>
      <c r="J262" s="90">
        <f>459000-1000</f>
        <v>458000</v>
      </c>
      <c r="K262" s="93"/>
      <c r="L262" s="90">
        <f>1077000+1000</f>
        <v>1078000</v>
      </c>
      <c r="M262" s="93"/>
      <c r="N262" s="90">
        <v>3661000</v>
      </c>
      <c r="O262" s="93"/>
      <c r="P262" s="90">
        <v>2572000</v>
      </c>
      <c r="Q262" s="93"/>
      <c r="R262" s="90">
        <v>0</v>
      </c>
      <c r="S262" s="86">
        <f t="shared" si="6"/>
        <v>0</v>
      </c>
    </row>
    <row r="263" spans="2:19" x14ac:dyDescent="0.15">
      <c r="C263" s="52" t="s">
        <v>149</v>
      </c>
      <c r="D263" s="52"/>
      <c r="E263" s="91"/>
      <c r="F263" s="75">
        <f>SUM(H263:L263)</f>
        <v>5000</v>
      </c>
      <c r="G263" s="92"/>
      <c r="H263" s="90">
        <v>0</v>
      </c>
      <c r="I263" s="93"/>
      <c r="J263" s="90">
        <v>0</v>
      </c>
      <c r="K263" s="93"/>
      <c r="L263" s="90">
        <v>5000</v>
      </c>
      <c r="M263" s="93"/>
      <c r="N263" s="90">
        <v>4000</v>
      </c>
      <c r="O263" s="93"/>
      <c r="P263" s="90">
        <v>1000</v>
      </c>
      <c r="Q263" s="93"/>
      <c r="R263" s="90">
        <v>0</v>
      </c>
      <c r="S263" s="86">
        <f t="shared" si="6"/>
        <v>0</v>
      </c>
    </row>
    <row r="264" spans="2:19" x14ac:dyDescent="0.15">
      <c r="C264" s="52" t="s">
        <v>150</v>
      </c>
      <c r="D264" s="52"/>
      <c r="E264" s="91"/>
      <c r="F264" s="94">
        <f>SUM(H264:L264)</f>
        <v>1696000</v>
      </c>
      <c r="G264" s="69"/>
      <c r="H264" s="95">
        <v>1586000</v>
      </c>
      <c r="I264" s="90"/>
      <c r="J264" s="95">
        <v>45000</v>
      </c>
      <c r="K264" s="90"/>
      <c r="L264" s="95">
        <v>65000</v>
      </c>
      <c r="M264" s="90"/>
      <c r="N264" s="95">
        <v>1107000</v>
      </c>
      <c r="O264" s="90"/>
      <c r="P264" s="95">
        <v>589000</v>
      </c>
      <c r="Q264" s="90"/>
      <c r="R264" s="95">
        <v>0</v>
      </c>
      <c r="S264" s="86">
        <f t="shared" ref="S264:S327" si="10">+F264-N264-P264+R264</f>
        <v>0</v>
      </c>
    </row>
    <row r="265" spans="2:19" x14ac:dyDescent="0.15">
      <c r="E265" s="52" t="s">
        <v>22</v>
      </c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86">
        <f t="shared" si="10"/>
        <v>0</v>
      </c>
    </row>
    <row r="266" spans="2:19" x14ac:dyDescent="0.15">
      <c r="E266" s="52" t="s">
        <v>3</v>
      </c>
      <c r="F266" s="94">
        <f>SUM(H266:L266)</f>
        <v>273801000</v>
      </c>
      <c r="G266" s="69"/>
      <c r="H266" s="94">
        <f>SUM(H194:H265)</f>
        <v>226964000</v>
      </c>
      <c r="I266" s="75"/>
      <c r="J266" s="94">
        <f>SUM(J194:J265)</f>
        <v>25482000</v>
      </c>
      <c r="K266" s="75"/>
      <c r="L266" s="94">
        <f>SUM(L194:L265)</f>
        <v>21355000</v>
      </c>
      <c r="M266" s="75"/>
      <c r="N266" s="94">
        <f>SUM(N194:N265)</f>
        <v>178937000</v>
      </c>
      <c r="O266" s="75"/>
      <c r="P266" s="94">
        <f>SUM(P194:P265)</f>
        <v>95293000</v>
      </c>
      <c r="Q266" s="75"/>
      <c r="R266" s="94">
        <f>SUM(R194:R265)</f>
        <v>429000</v>
      </c>
      <c r="S266" s="86">
        <f t="shared" si="10"/>
        <v>0</v>
      </c>
    </row>
    <row r="267" spans="2:19" x14ac:dyDescent="0.15"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86">
        <f t="shared" si="10"/>
        <v>0</v>
      </c>
    </row>
    <row r="268" spans="2:19" x14ac:dyDescent="0.15">
      <c r="B268" s="53" t="s">
        <v>24</v>
      </c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86">
        <f t="shared" si="10"/>
        <v>0</v>
      </c>
    </row>
    <row r="269" spans="2:19" x14ac:dyDescent="0.15">
      <c r="C269" s="52" t="s">
        <v>79</v>
      </c>
      <c r="D269" s="52"/>
      <c r="E269" s="91"/>
      <c r="F269" s="75">
        <f t="shared" ref="F269:F312" si="11">SUM(H269:L269)</f>
        <v>6000</v>
      </c>
      <c r="G269" s="92"/>
      <c r="H269" s="90">
        <f>5000+1000</f>
        <v>6000</v>
      </c>
      <c r="I269" s="93"/>
      <c r="J269" s="90">
        <v>0</v>
      </c>
      <c r="K269" s="93"/>
      <c r="L269" s="90">
        <v>0</v>
      </c>
      <c r="M269" s="93"/>
      <c r="N269" s="90">
        <v>0</v>
      </c>
      <c r="O269" s="93"/>
      <c r="P269" s="90">
        <v>6000</v>
      </c>
      <c r="Q269" s="93"/>
      <c r="R269" s="90">
        <v>0</v>
      </c>
      <c r="S269" s="86">
        <f t="shared" si="10"/>
        <v>0</v>
      </c>
    </row>
    <row r="270" spans="2:19" x14ac:dyDescent="0.15">
      <c r="C270" s="52" t="s">
        <v>82</v>
      </c>
      <c r="D270" s="52"/>
      <c r="E270" s="91"/>
      <c r="F270" s="75">
        <f t="shared" si="11"/>
        <v>237000</v>
      </c>
      <c r="G270" s="92"/>
      <c r="H270" s="90">
        <f>13000+1000</f>
        <v>14000</v>
      </c>
      <c r="I270" s="93"/>
      <c r="J270" s="90">
        <v>65000</v>
      </c>
      <c r="K270" s="93"/>
      <c r="L270" s="90">
        <v>158000</v>
      </c>
      <c r="M270" s="93"/>
      <c r="N270" s="90">
        <v>97000</v>
      </c>
      <c r="O270" s="93"/>
      <c r="P270" s="90">
        <v>140000</v>
      </c>
      <c r="Q270" s="93"/>
      <c r="R270" s="90">
        <v>0</v>
      </c>
      <c r="S270" s="86">
        <f t="shared" si="10"/>
        <v>0</v>
      </c>
    </row>
    <row r="271" spans="2:19" x14ac:dyDescent="0.15">
      <c r="C271" s="52" t="s">
        <v>84</v>
      </c>
      <c r="D271" s="52"/>
      <c r="E271" s="91"/>
      <c r="F271" s="75">
        <f t="shared" si="11"/>
        <v>43000</v>
      </c>
      <c r="G271" s="92"/>
      <c r="H271" s="90">
        <v>9000</v>
      </c>
      <c r="I271" s="93"/>
      <c r="J271" s="90">
        <v>24000</v>
      </c>
      <c r="K271" s="93"/>
      <c r="L271" s="90">
        <f>9000+1000</f>
        <v>10000</v>
      </c>
      <c r="M271" s="93"/>
      <c r="N271" s="90">
        <v>18000</v>
      </c>
      <c r="O271" s="93"/>
      <c r="P271" s="90">
        <v>25000</v>
      </c>
      <c r="Q271" s="93"/>
      <c r="R271" s="90">
        <v>0</v>
      </c>
      <c r="S271" s="86">
        <f t="shared" si="10"/>
        <v>0</v>
      </c>
    </row>
    <row r="272" spans="2:19" x14ac:dyDescent="0.15">
      <c r="C272" s="52" t="s">
        <v>85</v>
      </c>
      <c r="D272" s="52"/>
      <c r="E272" s="91"/>
      <c r="F272" s="75">
        <f t="shared" si="11"/>
        <v>28000</v>
      </c>
      <c r="G272" s="92"/>
      <c r="H272" s="90">
        <f>21000-1000</f>
        <v>20000</v>
      </c>
      <c r="I272" s="93"/>
      <c r="J272" s="90">
        <v>3000</v>
      </c>
      <c r="K272" s="93"/>
      <c r="L272" s="90">
        <v>5000</v>
      </c>
      <c r="M272" s="93"/>
      <c r="N272" s="90">
        <v>0</v>
      </c>
      <c r="O272" s="93"/>
      <c r="P272" s="90">
        <v>28000</v>
      </c>
      <c r="Q272" s="93"/>
      <c r="R272" s="90">
        <v>0</v>
      </c>
      <c r="S272" s="86">
        <f t="shared" si="10"/>
        <v>0</v>
      </c>
    </row>
    <row r="273" spans="3:19" x14ac:dyDescent="0.15">
      <c r="C273" s="52" t="s">
        <v>83</v>
      </c>
      <c r="D273" s="52"/>
      <c r="E273" s="91"/>
      <c r="F273" s="75">
        <f t="shared" si="11"/>
        <v>907000</v>
      </c>
      <c r="G273" s="92"/>
      <c r="H273" s="90">
        <v>0</v>
      </c>
      <c r="I273" s="93"/>
      <c r="J273" s="90">
        <v>0</v>
      </c>
      <c r="K273" s="93"/>
      <c r="L273" s="90">
        <v>907000</v>
      </c>
      <c r="M273" s="93"/>
      <c r="N273" s="90">
        <v>675000</v>
      </c>
      <c r="O273" s="93"/>
      <c r="P273" s="90">
        <v>232000</v>
      </c>
      <c r="Q273" s="93"/>
      <c r="R273" s="90">
        <v>0</v>
      </c>
      <c r="S273" s="86">
        <f t="shared" si="10"/>
        <v>0</v>
      </c>
    </row>
    <row r="274" spans="3:19" x14ac:dyDescent="0.15">
      <c r="C274" s="52" t="s">
        <v>86</v>
      </c>
      <c r="D274" s="52"/>
      <c r="E274" s="91"/>
      <c r="F274" s="75">
        <f t="shared" si="11"/>
        <v>3060000</v>
      </c>
      <c r="G274" s="92"/>
      <c r="H274" s="90">
        <v>62000</v>
      </c>
      <c r="I274" s="93"/>
      <c r="J274" s="90">
        <v>64000</v>
      </c>
      <c r="K274" s="93"/>
      <c r="L274" s="90">
        <v>2934000</v>
      </c>
      <c r="M274" s="93"/>
      <c r="N274" s="90">
        <v>2037000</v>
      </c>
      <c r="O274" s="93"/>
      <c r="P274" s="90">
        <v>1023000</v>
      </c>
      <c r="Q274" s="93"/>
      <c r="R274" s="90">
        <v>0</v>
      </c>
      <c r="S274" s="86">
        <f t="shared" si="10"/>
        <v>0</v>
      </c>
    </row>
    <row r="275" spans="3:19" x14ac:dyDescent="0.15">
      <c r="C275" s="52" t="s">
        <v>87</v>
      </c>
      <c r="D275" s="52"/>
      <c r="E275" s="91"/>
      <c r="F275" s="75">
        <f t="shared" si="11"/>
        <v>402000</v>
      </c>
      <c r="G275" s="92"/>
      <c r="H275" s="90">
        <v>0</v>
      </c>
      <c r="I275" s="93"/>
      <c r="J275" s="90">
        <v>0</v>
      </c>
      <c r="K275" s="93"/>
      <c r="L275" s="90">
        <v>402000</v>
      </c>
      <c r="M275" s="93"/>
      <c r="N275" s="90">
        <v>152000</v>
      </c>
      <c r="O275" s="93"/>
      <c r="P275" s="90">
        <v>250000</v>
      </c>
      <c r="Q275" s="93"/>
      <c r="R275" s="90">
        <v>0</v>
      </c>
      <c r="S275" s="86">
        <f t="shared" si="10"/>
        <v>0</v>
      </c>
    </row>
    <row r="276" spans="3:19" x14ac:dyDescent="0.15">
      <c r="C276" s="52" t="s">
        <v>92</v>
      </c>
      <c r="D276" s="52"/>
      <c r="E276" s="91"/>
      <c r="F276" s="75">
        <f t="shared" si="11"/>
        <v>1914000</v>
      </c>
      <c r="G276" s="92"/>
      <c r="H276" s="90">
        <v>54000</v>
      </c>
      <c r="I276" s="93"/>
      <c r="J276" s="90">
        <v>186000</v>
      </c>
      <c r="K276" s="93"/>
      <c r="L276" s="90">
        <v>1674000</v>
      </c>
      <c r="M276" s="93"/>
      <c r="N276" s="90">
        <v>649000</v>
      </c>
      <c r="O276" s="93"/>
      <c r="P276" s="90">
        <v>1265000</v>
      </c>
      <c r="Q276" s="93"/>
      <c r="R276" s="90">
        <v>0</v>
      </c>
      <c r="S276" s="86">
        <f t="shared" si="10"/>
        <v>0</v>
      </c>
    </row>
    <row r="277" spans="3:19" x14ac:dyDescent="0.15">
      <c r="C277" s="52" t="s">
        <v>93</v>
      </c>
      <c r="D277" s="52"/>
      <c r="E277" s="91"/>
      <c r="F277" s="75">
        <f t="shared" si="11"/>
        <v>4000</v>
      </c>
      <c r="G277" s="92"/>
      <c r="H277" s="90">
        <v>4000</v>
      </c>
      <c r="I277" s="93"/>
      <c r="J277" s="90">
        <v>0</v>
      </c>
      <c r="K277" s="93"/>
      <c r="L277" s="90">
        <v>0</v>
      </c>
      <c r="M277" s="93"/>
      <c r="N277" s="90">
        <v>4000</v>
      </c>
      <c r="O277" s="93"/>
      <c r="P277" s="90">
        <v>0</v>
      </c>
      <c r="Q277" s="93"/>
      <c r="R277" s="90">
        <v>0</v>
      </c>
      <c r="S277" s="86">
        <f t="shared" si="10"/>
        <v>0</v>
      </c>
    </row>
    <row r="278" spans="3:19" x14ac:dyDescent="0.15">
      <c r="C278" s="52" t="s">
        <v>95</v>
      </c>
      <c r="D278" s="52"/>
      <c r="E278" s="91"/>
      <c r="F278" s="75">
        <f t="shared" si="11"/>
        <v>9000</v>
      </c>
      <c r="G278" s="92"/>
      <c r="H278" s="90">
        <v>2000</v>
      </c>
      <c r="I278" s="93"/>
      <c r="J278" s="90">
        <v>6000</v>
      </c>
      <c r="K278" s="93"/>
      <c r="L278" s="90">
        <v>1000</v>
      </c>
      <c r="M278" s="93"/>
      <c r="N278" s="90">
        <v>0</v>
      </c>
      <c r="O278" s="93"/>
      <c r="P278" s="90">
        <v>9000</v>
      </c>
      <c r="Q278" s="93"/>
      <c r="R278" s="90">
        <v>0</v>
      </c>
      <c r="S278" s="86">
        <f t="shared" si="10"/>
        <v>0</v>
      </c>
    </row>
    <row r="279" spans="3:19" x14ac:dyDescent="0.15">
      <c r="C279" s="52" t="s">
        <v>39</v>
      </c>
      <c r="D279" s="52"/>
      <c r="E279" s="91"/>
      <c r="F279" s="75">
        <f t="shared" si="11"/>
        <v>61000</v>
      </c>
      <c r="G279" s="92"/>
      <c r="H279" s="90">
        <f>27000-1000</f>
        <v>26000</v>
      </c>
      <c r="I279" s="93"/>
      <c r="J279" s="90">
        <v>35000</v>
      </c>
      <c r="K279" s="93"/>
      <c r="L279" s="90">
        <v>0</v>
      </c>
      <c r="M279" s="93"/>
      <c r="N279" s="90">
        <v>0</v>
      </c>
      <c r="O279" s="93"/>
      <c r="P279" s="90">
        <v>61000</v>
      </c>
      <c r="Q279" s="93"/>
      <c r="R279" s="90">
        <v>0</v>
      </c>
      <c r="S279" s="86">
        <f t="shared" si="10"/>
        <v>0</v>
      </c>
    </row>
    <row r="280" spans="3:19" x14ac:dyDescent="0.15">
      <c r="C280" s="52" t="s">
        <v>101</v>
      </c>
      <c r="D280" s="52"/>
      <c r="E280" s="91"/>
      <c r="F280" s="75">
        <f t="shared" si="11"/>
        <v>4443000</v>
      </c>
      <c r="G280" s="92"/>
      <c r="H280" s="90">
        <v>115000</v>
      </c>
      <c r="I280" s="93"/>
      <c r="J280" s="90">
        <v>27000</v>
      </c>
      <c r="K280" s="93"/>
      <c r="L280" s="90">
        <v>4301000</v>
      </c>
      <c r="M280" s="93"/>
      <c r="N280" s="90">
        <v>2352000</v>
      </c>
      <c r="O280" s="93"/>
      <c r="P280" s="90">
        <v>2119000</v>
      </c>
      <c r="Q280" s="93"/>
      <c r="R280" s="90">
        <v>28000</v>
      </c>
      <c r="S280" s="86">
        <f t="shared" si="10"/>
        <v>0</v>
      </c>
    </row>
    <row r="281" spans="3:19" x14ac:dyDescent="0.15">
      <c r="C281" s="52" t="s">
        <v>151</v>
      </c>
      <c r="D281" s="52"/>
      <c r="E281" s="91"/>
      <c r="F281" s="75">
        <f t="shared" si="11"/>
        <v>10000</v>
      </c>
      <c r="G281" s="92"/>
      <c r="H281" s="90">
        <v>1000</v>
      </c>
      <c r="I281" s="93"/>
      <c r="J281" s="90">
        <v>0</v>
      </c>
      <c r="K281" s="93"/>
      <c r="L281" s="90">
        <v>9000</v>
      </c>
      <c r="M281" s="93"/>
      <c r="N281" s="90">
        <v>6000</v>
      </c>
      <c r="O281" s="93"/>
      <c r="P281" s="90">
        <v>4000</v>
      </c>
      <c r="Q281" s="93"/>
      <c r="R281" s="90">
        <v>0</v>
      </c>
      <c r="S281" s="86">
        <f t="shared" si="10"/>
        <v>0</v>
      </c>
    </row>
    <row r="282" spans="3:19" x14ac:dyDescent="0.15">
      <c r="C282" s="52" t="s">
        <v>152</v>
      </c>
      <c r="D282" s="52"/>
      <c r="E282" s="91"/>
      <c r="F282" s="75">
        <f t="shared" si="11"/>
        <v>507000</v>
      </c>
      <c r="G282" s="92"/>
      <c r="H282" s="90">
        <v>140000</v>
      </c>
      <c r="I282" s="93"/>
      <c r="J282" s="90">
        <v>111000</v>
      </c>
      <c r="K282" s="93"/>
      <c r="L282" s="90">
        <v>256000</v>
      </c>
      <c r="M282" s="93"/>
      <c r="N282" s="90">
        <v>327000</v>
      </c>
      <c r="O282" s="93"/>
      <c r="P282" s="90">
        <v>180000</v>
      </c>
      <c r="Q282" s="93"/>
      <c r="R282" s="90">
        <v>0</v>
      </c>
      <c r="S282" s="86">
        <f t="shared" si="10"/>
        <v>0</v>
      </c>
    </row>
    <row r="283" spans="3:19" x14ac:dyDescent="0.15">
      <c r="C283" s="52" t="s">
        <v>105</v>
      </c>
      <c r="D283" s="52"/>
      <c r="E283" s="91"/>
      <c r="F283" s="75">
        <f t="shared" si="11"/>
        <v>422000</v>
      </c>
      <c r="G283" s="92"/>
      <c r="H283" s="90">
        <v>52000</v>
      </c>
      <c r="I283" s="93"/>
      <c r="J283" s="90">
        <v>79000</v>
      </c>
      <c r="K283" s="93"/>
      <c r="L283" s="90">
        <v>291000</v>
      </c>
      <c r="M283" s="93"/>
      <c r="N283" s="90">
        <v>113000</v>
      </c>
      <c r="O283" s="93"/>
      <c r="P283" s="90">
        <v>309000</v>
      </c>
      <c r="Q283" s="93"/>
      <c r="R283" s="90">
        <v>0</v>
      </c>
      <c r="S283" s="86">
        <f t="shared" si="10"/>
        <v>0</v>
      </c>
    </row>
    <row r="284" spans="3:19" x14ac:dyDescent="0.15">
      <c r="C284" s="52" t="s">
        <v>106</v>
      </c>
      <c r="D284" s="52"/>
      <c r="E284" s="91"/>
      <c r="F284" s="75">
        <f t="shared" si="11"/>
        <v>23000</v>
      </c>
      <c r="G284" s="92"/>
      <c r="H284" s="90">
        <f>9000-1000</f>
        <v>8000</v>
      </c>
      <c r="I284" s="93"/>
      <c r="J284" s="90">
        <v>14000</v>
      </c>
      <c r="K284" s="93"/>
      <c r="L284" s="90">
        <v>1000</v>
      </c>
      <c r="M284" s="93"/>
      <c r="N284" s="90">
        <v>5000</v>
      </c>
      <c r="O284" s="93"/>
      <c r="P284" s="90">
        <v>18000</v>
      </c>
      <c r="Q284" s="93"/>
      <c r="R284" s="90">
        <v>0</v>
      </c>
      <c r="S284" s="86">
        <f t="shared" si="10"/>
        <v>0</v>
      </c>
    </row>
    <row r="285" spans="3:19" x14ac:dyDescent="0.15">
      <c r="C285" s="52" t="s">
        <v>107</v>
      </c>
      <c r="D285" s="52"/>
      <c r="E285" s="91"/>
      <c r="F285" s="75">
        <f t="shared" si="11"/>
        <v>0</v>
      </c>
      <c r="G285" s="92"/>
      <c r="H285" s="90">
        <v>0</v>
      </c>
      <c r="I285" s="93"/>
      <c r="J285" s="90">
        <v>0</v>
      </c>
      <c r="K285" s="93"/>
      <c r="L285" s="90">
        <v>0</v>
      </c>
      <c r="M285" s="93"/>
      <c r="N285" s="90">
        <v>0</v>
      </c>
      <c r="O285" s="93"/>
      <c r="P285" s="90">
        <v>0</v>
      </c>
      <c r="Q285" s="93"/>
      <c r="R285" s="90">
        <v>0</v>
      </c>
      <c r="S285" s="86">
        <f t="shared" si="10"/>
        <v>0</v>
      </c>
    </row>
    <row r="286" spans="3:19" x14ac:dyDescent="0.15">
      <c r="C286" s="52" t="s">
        <v>108</v>
      </c>
      <c r="D286" s="52"/>
      <c r="E286" s="91"/>
      <c r="F286" s="75">
        <f t="shared" si="11"/>
        <v>33000</v>
      </c>
      <c r="G286" s="92"/>
      <c r="H286" s="90">
        <v>9000</v>
      </c>
      <c r="I286" s="93"/>
      <c r="J286" s="90">
        <v>21000</v>
      </c>
      <c r="K286" s="93"/>
      <c r="L286" s="90">
        <v>3000</v>
      </c>
      <c r="M286" s="93"/>
      <c r="N286" s="90">
        <v>2000</v>
      </c>
      <c r="O286" s="93"/>
      <c r="P286" s="90">
        <v>31000</v>
      </c>
      <c r="Q286" s="93"/>
      <c r="R286" s="90">
        <v>0</v>
      </c>
      <c r="S286" s="86">
        <f t="shared" si="10"/>
        <v>0</v>
      </c>
    </row>
    <row r="287" spans="3:19" x14ac:dyDescent="0.15">
      <c r="C287" s="52" t="s">
        <v>109</v>
      </c>
      <c r="D287" s="52"/>
      <c r="E287" s="91"/>
      <c r="F287" s="75">
        <f t="shared" si="11"/>
        <v>445000</v>
      </c>
      <c r="G287" s="92"/>
      <c r="H287" s="90">
        <v>10000</v>
      </c>
      <c r="I287" s="93"/>
      <c r="J287" s="90">
        <v>3000</v>
      </c>
      <c r="K287" s="93"/>
      <c r="L287" s="90">
        <v>432000</v>
      </c>
      <c r="M287" s="93"/>
      <c r="N287" s="90">
        <v>301000</v>
      </c>
      <c r="O287" s="93"/>
      <c r="P287" s="90">
        <v>144000</v>
      </c>
      <c r="Q287" s="93"/>
      <c r="R287" s="90">
        <v>0</v>
      </c>
      <c r="S287" s="86">
        <f t="shared" si="10"/>
        <v>0</v>
      </c>
    </row>
    <row r="288" spans="3:19" x14ac:dyDescent="0.15">
      <c r="C288" s="52" t="s">
        <v>110</v>
      </c>
      <c r="D288" s="52"/>
      <c r="E288" s="91"/>
      <c r="F288" s="75">
        <f t="shared" si="11"/>
        <v>115000</v>
      </c>
      <c r="G288" s="92"/>
      <c r="H288" s="90">
        <v>10000</v>
      </c>
      <c r="I288" s="93"/>
      <c r="J288" s="90">
        <f>42000-1000</f>
        <v>41000</v>
      </c>
      <c r="K288" s="93"/>
      <c r="L288" s="90">
        <v>64000</v>
      </c>
      <c r="M288" s="93"/>
      <c r="N288" s="90">
        <v>66000</v>
      </c>
      <c r="O288" s="93"/>
      <c r="P288" s="90">
        <v>49000</v>
      </c>
      <c r="Q288" s="93"/>
      <c r="R288" s="90">
        <v>0</v>
      </c>
      <c r="S288" s="86">
        <f t="shared" si="10"/>
        <v>0</v>
      </c>
    </row>
    <row r="289" spans="3:19" x14ac:dyDescent="0.15">
      <c r="C289" s="52" t="s">
        <v>112</v>
      </c>
      <c r="D289" s="52"/>
      <c r="E289" s="91"/>
      <c r="F289" s="75">
        <f t="shared" si="11"/>
        <v>195000</v>
      </c>
      <c r="G289" s="92"/>
      <c r="H289" s="90">
        <f>82000-1000</f>
        <v>81000</v>
      </c>
      <c r="I289" s="93"/>
      <c r="J289" s="90">
        <v>38000</v>
      </c>
      <c r="K289" s="93"/>
      <c r="L289" s="90">
        <v>76000</v>
      </c>
      <c r="M289" s="93"/>
      <c r="N289" s="90">
        <v>94000</v>
      </c>
      <c r="O289" s="93"/>
      <c r="P289" s="90">
        <v>101000</v>
      </c>
      <c r="Q289" s="93"/>
      <c r="R289" s="90">
        <v>0</v>
      </c>
      <c r="S289" s="86">
        <f t="shared" si="10"/>
        <v>0</v>
      </c>
    </row>
    <row r="290" spans="3:19" x14ac:dyDescent="0.15">
      <c r="C290" s="52" t="s">
        <v>155</v>
      </c>
      <c r="D290" s="52"/>
      <c r="E290" s="91"/>
      <c r="F290" s="75">
        <f t="shared" si="11"/>
        <v>3691000</v>
      </c>
      <c r="G290" s="92"/>
      <c r="H290" s="90">
        <v>65000</v>
      </c>
      <c r="I290" s="93"/>
      <c r="J290" s="90">
        <v>68000</v>
      </c>
      <c r="K290" s="93"/>
      <c r="L290" s="90">
        <v>3558000</v>
      </c>
      <c r="M290" s="93"/>
      <c r="N290" s="90">
        <v>2077000</v>
      </c>
      <c r="O290" s="93"/>
      <c r="P290" s="90">
        <v>1614000</v>
      </c>
      <c r="Q290" s="93"/>
      <c r="R290" s="90">
        <v>0</v>
      </c>
      <c r="S290" s="86">
        <f t="shared" si="10"/>
        <v>0</v>
      </c>
    </row>
    <row r="291" spans="3:19" x14ac:dyDescent="0.15">
      <c r="C291" s="52" t="s">
        <v>536</v>
      </c>
      <c r="D291" s="52"/>
      <c r="E291" s="91"/>
      <c r="F291" s="75">
        <f t="shared" si="11"/>
        <v>1000</v>
      </c>
      <c r="G291" s="92"/>
      <c r="H291" s="90">
        <v>0</v>
      </c>
      <c r="I291" s="93"/>
      <c r="J291" s="90">
        <v>0</v>
      </c>
      <c r="K291" s="93"/>
      <c r="L291" s="90">
        <v>1000</v>
      </c>
      <c r="M291" s="93"/>
      <c r="N291" s="90">
        <v>0</v>
      </c>
      <c r="O291" s="93"/>
      <c r="P291" s="90">
        <v>1000</v>
      </c>
      <c r="Q291" s="93"/>
      <c r="R291" s="90">
        <v>0</v>
      </c>
      <c r="S291" s="86">
        <f t="shared" si="10"/>
        <v>0</v>
      </c>
    </row>
    <row r="292" spans="3:19" x14ac:dyDescent="0.15">
      <c r="C292" s="52" t="s">
        <v>117</v>
      </c>
      <c r="D292" s="52"/>
      <c r="E292" s="91"/>
      <c r="F292" s="75">
        <f t="shared" si="11"/>
        <v>11000</v>
      </c>
      <c r="G292" s="92"/>
      <c r="H292" s="90">
        <v>7000</v>
      </c>
      <c r="I292" s="93"/>
      <c r="J292" s="90">
        <v>1000</v>
      </c>
      <c r="K292" s="93"/>
      <c r="L292" s="90">
        <v>3000</v>
      </c>
      <c r="M292" s="93"/>
      <c r="N292" s="90">
        <v>0</v>
      </c>
      <c r="O292" s="93"/>
      <c r="P292" s="90">
        <v>11000</v>
      </c>
      <c r="Q292" s="93"/>
      <c r="R292" s="90">
        <v>0</v>
      </c>
      <c r="S292" s="86">
        <f t="shared" si="10"/>
        <v>0</v>
      </c>
    </row>
    <row r="293" spans="3:19" x14ac:dyDescent="0.15">
      <c r="C293" s="52" t="s">
        <v>158</v>
      </c>
      <c r="D293" s="52"/>
      <c r="E293" s="91"/>
      <c r="F293" s="75">
        <f t="shared" si="11"/>
        <v>1100000</v>
      </c>
      <c r="G293" s="92"/>
      <c r="H293" s="90">
        <v>0</v>
      </c>
      <c r="I293" s="93"/>
      <c r="J293" s="90">
        <v>0</v>
      </c>
      <c r="K293" s="93"/>
      <c r="L293" s="90">
        <v>1100000</v>
      </c>
      <c r="M293" s="93"/>
      <c r="N293" s="90">
        <v>0</v>
      </c>
      <c r="O293" s="93"/>
      <c r="P293" s="90">
        <v>1100000</v>
      </c>
      <c r="Q293" s="93"/>
      <c r="R293" s="90">
        <v>0</v>
      </c>
      <c r="S293" s="86">
        <f t="shared" si="10"/>
        <v>0</v>
      </c>
    </row>
    <row r="294" spans="3:19" x14ac:dyDescent="0.15">
      <c r="C294" s="52" t="s">
        <v>159</v>
      </c>
      <c r="D294" s="52"/>
      <c r="E294" s="91"/>
      <c r="F294" s="75">
        <f t="shared" si="11"/>
        <v>597000</v>
      </c>
      <c r="G294" s="92"/>
      <c r="H294" s="90">
        <v>13000</v>
      </c>
      <c r="I294" s="93"/>
      <c r="J294" s="90">
        <v>7000</v>
      </c>
      <c r="K294" s="93"/>
      <c r="L294" s="90">
        <v>577000</v>
      </c>
      <c r="M294" s="93"/>
      <c r="N294" s="90">
        <f>321000-1000</f>
        <v>320000</v>
      </c>
      <c r="O294" s="93"/>
      <c r="P294" s="90">
        <v>277000</v>
      </c>
      <c r="Q294" s="93"/>
      <c r="R294" s="90">
        <v>0</v>
      </c>
      <c r="S294" s="86">
        <f t="shared" si="10"/>
        <v>0</v>
      </c>
    </row>
    <row r="295" spans="3:19" x14ac:dyDescent="0.15">
      <c r="C295" s="52" t="s">
        <v>122</v>
      </c>
      <c r="D295" s="52"/>
      <c r="E295" s="91"/>
      <c r="F295" s="75">
        <f t="shared" si="11"/>
        <v>46000</v>
      </c>
      <c r="G295" s="92"/>
      <c r="H295" s="90">
        <v>1000</v>
      </c>
      <c r="I295" s="93"/>
      <c r="J295" s="90">
        <v>2000</v>
      </c>
      <c r="K295" s="93"/>
      <c r="L295" s="90">
        <v>43000</v>
      </c>
      <c r="M295" s="93"/>
      <c r="N295" s="90">
        <v>2000</v>
      </c>
      <c r="O295" s="93"/>
      <c r="P295" s="90">
        <v>44000</v>
      </c>
      <c r="Q295" s="93"/>
      <c r="R295" s="90">
        <v>0</v>
      </c>
      <c r="S295" s="86">
        <f t="shared" si="10"/>
        <v>0</v>
      </c>
    </row>
    <row r="296" spans="3:19" x14ac:dyDescent="0.15">
      <c r="C296" s="52" t="s">
        <v>125</v>
      </c>
      <c r="D296" s="52"/>
      <c r="E296" s="91"/>
      <c r="F296" s="75">
        <f t="shared" si="11"/>
        <v>29503000</v>
      </c>
      <c r="G296" s="92"/>
      <c r="H296" s="90">
        <v>451000</v>
      </c>
      <c r="I296" s="93"/>
      <c r="J296" s="90">
        <v>224000</v>
      </c>
      <c r="K296" s="93"/>
      <c r="L296" s="90">
        <v>28828000</v>
      </c>
      <c r="M296" s="93"/>
      <c r="N296" s="90">
        <v>13550000</v>
      </c>
      <c r="O296" s="93"/>
      <c r="P296" s="90">
        <v>15953000</v>
      </c>
      <c r="Q296" s="93"/>
      <c r="R296" s="90">
        <v>0</v>
      </c>
      <c r="S296" s="86">
        <f t="shared" si="10"/>
        <v>0</v>
      </c>
    </row>
    <row r="297" spans="3:19" x14ac:dyDescent="0.15">
      <c r="C297" s="52" t="s">
        <v>160</v>
      </c>
      <c r="D297" s="52"/>
      <c r="E297" s="91"/>
      <c r="F297" s="75">
        <f t="shared" si="11"/>
        <v>220000</v>
      </c>
      <c r="G297" s="92"/>
      <c r="H297" s="90">
        <v>14000</v>
      </c>
      <c r="I297" s="93"/>
      <c r="J297" s="90">
        <v>24000</v>
      </c>
      <c r="K297" s="93"/>
      <c r="L297" s="90">
        <v>182000</v>
      </c>
      <c r="M297" s="93"/>
      <c r="N297" s="90">
        <v>53000</v>
      </c>
      <c r="O297" s="93"/>
      <c r="P297" s="90">
        <v>167000</v>
      </c>
      <c r="Q297" s="93"/>
      <c r="R297" s="90">
        <v>0</v>
      </c>
      <c r="S297" s="86">
        <f t="shared" si="10"/>
        <v>0</v>
      </c>
    </row>
    <row r="298" spans="3:19" x14ac:dyDescent="0.15">
      <c r="C298" s="52" t="s">
        <v>127</v>
      </c>
      <c r="D298" s="52"/>
      <c r="E298" s="91"/>
      <c r="F298" s="75">
        <f t="shared" si="11"/>
        <v>3000</v>
      </c>
      <c r="G298" s="92"/>
      <c r="H298" s="90">
        <v>0</v>
      </c>
      <c r="I298" s="93"/>
      <c r="J298" s="90">
        <v>3000</v>
      </c>
      <c r="K298" s="93"/>
      <c r="L298" s="90">
        <v>0</v>
      </c>
      <c r="M298" s="93"/>
      <c r="N298" s="90">
        <v>2000</v>
      </c>
      <c r="O298" s="93"/>
      <c r="P298" s="90">
        <v>1000</v>
      </c>
      <c r="Q298" s="93"/>
      <c r="R298" s="90">
        <v>0</v>
      </c>
      <c r="S298" s="86">
        <f t="shared" si="10"/>
        <v>0</v>
      </c>
    </row>
    <row r="299" spans="3:19" x14ac:dyDescent="0.15">
      <c r="C299" s="52" t="s">
        <v>161</v>
      </c>
      <c r="D299" s="52"/>
      <c r="E299" s="91"/>
      <c r="F299" s="75">
        <f t="shared" si="11"/>
        <v>31000</v>
      </c>
      <c r="G299" s="92"/>
      <c r="H299" s="90">
        <v>2000</v>
      </c>
      <c r="I299" s="93"/>
      <c r="J299" s="90">
        <v>14000</v>
      </c>
      <c r="K299" s="93"/>
      <c r="L299" s="90">
        <f>16000-1000</f>
        <v>15000</v>
      </c>
      <c r="M299" s="93"/>
      <c r="N299" s="90">
        <v>8000</v>
      </c>
      <c r="O299" s="93"/>
      <c r="P299" s="90">
        <v>23000</v>
      </c>
      <c r="Q299" s="93"/>
      <c r="R299" s="90">
        <v>0</v>
      </c>
      <c r="S299" s="86">
        <f t="shared" si="10"/>
        <v>0</v>
      </c>
    </row>
    <row r="300" spans="3:19" x14ac:dyDescent="0.15">
      <c r="C300" s="52" t="s">
        <v>130</v>
      </c>
      <c r="D300" s="52"/>
      <c r="E300" s="91"/>
      <c r="F300" s="75">
        <f t="shared" si="11"/>
        <v>649000</v>
      </c>
      <c r="G300" s="92"/>
      <c r="H300" s="90">
        <v>19000</v>
      </c>
      <c r="I300" s="93"/>
      <c r="J300" s="90">
        <v>0</v>
      </c>
      <c r="K300" s="93"/>
      <c r="L300" s="90">
        <v>630000</v>
      </c>
      <c r="M300" s="93"/>
      <c r="N300" s="90">
        <v>134000</v>
      </c>
      <c r="O300" s="93"/>
      <c r="P300" s="90">
        <v>515000</v>
      </c>
      <c r="Q300" s="93"/>
      <c r="R300" s="90">
        <v>0</v>
      </c>
      <c r="S300" s="86">
        <f t="shared" si="10"/>
        <v>0</v>
      </c>
    </row>
    <row r="301" spans="3:19" x14ac:dyDescent="0.15">
      <c r="C301" s="52" t="s">
        <v>131</v>
      </c>
      <c r="D301" s="52"/>
      <c r="E301" s="91"/>
      <c r="F301" s="75">
        <f t="shared" si="11"/>
        <v>13105000</v>
      </c>
      <c r="G301" s="92"/>
      <c r="H301" s="90">
        <v>123000</v>
      </c>
      <c r="I301" s="93"/>
      <c r="J301" s="90">
        <v>164000</v>
      </c>
      <c r="K301" s="93"/>
      <c r="L301" s="90">
        <v>12818000</v>
      </c>
      <c r="M301" s="93"/>
      <c r="N301" s="90">
        <v>6139000</v>
      </c>
      <c r="O301" s="93"/>
      <c r="P301" s="90">
        <v>6966000</v>
      </c>
      <c r="Q301" s="93"/>
      <c r="R301" s="90">
        <v>0</v>
      </c>
      <c r="S301" s="86">
        <f t="shared" si="10"/>
        <v>0</v>
      </c>
    </row>
    <row r="302" spans="3:19" x14ac:dyDescent="0.15">
      <c r="C302" s="52" t="s">
        <v>132</v>
      </c>
      <c r="D302" s="52"/>
      <c r="E302" s="91"/>
      <c r="F302" s="75">
        <f t="shared" si="11"/>
        <v>94000</v>
      </c>
      <c r="G302" s="92"/>
      <c r="H302" s="90">
        <v>0</v>
      </c>
      <c r="I302" s="93"/>
      <c r="J302" s="90">
        <v>12000</v>
      </c>
      <c r="K302" s="93"/>
      <c r="L302" s="90">
        <v>82000</v>
      </c>
      <c r="M302" s="93"/>
      <c r="N302" s="90">
        <v>38000</v>
      </c>
      <c r="O302" s="93"/>
      <c r="P302" s="90">
        <v>56000</v>
      </c>
      <c r="Q302" s="93"/>
      <c r="R302" s="90">
        <v>0</v>
      </c>
      <c r="S302" s="86">
        <f t="shared" si="10"/>
        <v>0</v>
      </c>
    </row>
    <row r="303" spans="3:19" x14ac:dyDescent="0.15">
      <c r="C303" s="52" t="s">
        <v>133</v>
      </c>
      <c r="D303" s="52"/>
      <c r="E303" s="91"/>
      <c r="F303" s="75">
        <f t="shared" si="11"/>
        <v>2046000</v>
      </c>
      <c r="G303" s="92"/>
      <c r="H303" s="90">
        <f>46000-1000+2000</f>
        <v>47000</v>
      </c>
      <c r="I303" s="93"/>
      <c r="J303" s="90">
        <f>86000-2000</f>
        <v>84000</v>
      </c>
      <c r="K303" s="93"/>
      <c r="L303" s="90">
        <v>1915000</v>
      </c>
      <c r="M303" s="93"/>
      <c r="N303" s="90">
        <v>1133000</v>
      </c>
      <c r="O303" s="93"/>
      <c r="P303" s="90">
        <v>913000</v>
      </c>
      <c r="Q303" s="93"/>
      <c r="R303" s="90">
        <v>0</v>
      </c>
      <c r="S303" s="86">
        <f t="shared" si="10"/>
        <v>0</v>
      </c>
    </row>
    <row r="304" spans="3:19" x14ac:dyDescent="0.15">
      <c r="C304" s="52" t="s">
        <v>134</v>
      </c>
      <c r="D304" s="52"/>
      <c r="E304" s="91"/>
      <c r="F304" s="75">
        <f t="shared" si="11"/>
        <v>181000</v>
      </c>
      <c r="G304" s="92"/>
      <c r="H304" s="90">
        <v>9000</v>
      </c>
      <c r="I304" s="93"/>
      <c r="J304" s="90">
        <f>8000+1000</f>
        <v>9000</v>
      </c>
      <c r="K304" s="93"/>
      <c r="L304" s="90">
        <v>163000</v>
      </c>
      <c r="M304" s="93"/>
      <c r="N304" s="90">
        <v>90000</v>
      </c>
      <c r="O304" s="93"/>
      <c r="P304" s="90">
        <v>91000</v>
      </c>
      <c r="Q304" s="93"/>
      <c r="R304" s="90">
        <v>0</v>
      </c>
      <c r="S304" s="86">
        <f t="shared" si="10"/>
        <v>0</v>
      </c>
    </row>
    <row r="305" spans="2:19" x14ac:dyDescent="0.15">
      <c r="C305" s="52" t="s">
        <v>137</v>
      </c>
      <c r="D305" s="52"/>
      <c r="E305" s="91"/>
      <c r="F305" s="75">
        <f t="shared" si="11"/>
        <v>9000</v>
      </c>
      <c r="G305" s="92"/>
      <c r="H305" s="90">
        <v>0</v>
      </c>
      <c r="I305" s="93"/>
      <c r="J305" s="90">
        <f>8000-1000</f>
        <v>7000</v>
      </c>
      <c r="K305" s="93"/>
      <c r="L305" s="90">
        <v>2000</v>
      </c>
      <c r="M305" s="93"/>
      <c r="N305" s="90">
        <v>6000</v>
      </c>
      <c r="O305" s="93"/>
      <c r="P305" s="90">
        <v>3000</v>
      </c>
      <c r="Q305" s="93"/>
      <c r="R305" s="90">
        <v>0</v>
      </c>
      <c r="S305" s="86">
        <f t="shared" si="10"/>
        <v>0</v>
      </c>
    </row>
    <row r="306" spans="2:19" x14ac:dyDescent="0.15">
      <c r="C306" s="52" t="s">
        <v>138</v>
      </c>
      <c r="D306" s="52"/>
      <c r="E306" s="91"/>
      <c r="F306" s="75">
        <f t="shared" si="11"/>
        <v>31000</v>
      </c>
      <c r="G306" s="92"/>
      <c r="H306" s="90">
        <v>5000</v>
      </c>
      <c r="I306" s="93"/>
      <c r="J306" s="90">
        <v>21000</v>
      </c>
      <c r="K306" s="93"/>
      <c r="L306" s="90">
        <v>5000</v>
      </c>
      <c r="M306" s="93"/>
      <c r="N306" s="90">
        <v>3000</v>
      </c>
      <c r="O306" s="93"/>
      <c r="P306" s="90">
        <v>28000</v>
      </c>
      <c r="Q306" s="93"/>
      <c r="R306" s="90">
        <v>0</v>
      </c>
      <c r="S306" s="86">
        <f t="shared" si="10"/>
        <v>0</v>
      </c>
    </row>
    <row r="307" spans="2:19" x14ac:dyDescent="0.15">
      <c r="C307" s="52" t="s">
        <v>141</v>
      </c>
      <c r="D307" s="52"/>
      <c r="E307" s="91"/>
      <c r="F307" s="75">
        <f t="shared" si="11"/>
        <v>66000</v>
      </c>
      <c r="G307" s="92"/>
      <c r="H307" s="90">
        <v>15000</v>
      </c>
      <c r="I307" s="93"/>
      <c r="J307" s="90">
        <v>17000</v>
      </c>
      <c r="K307" s="93"/>
      <c r="L307" s="90">
        <v>34000</v>
      </c>
      <c r="M307" s="93"/>
      <c r="N307" s="90">
        <v>22000</v>
      </c>
      <c r="O307" s="93"/>
      <c r="P307" s="90">
        <v>44000</v>
      </c>
      <c r="Q307" s="93"/>
      <c r="R307" s="90">
        <v>0</v>
      </c>
      <c r="S307" s="86">
        <f t="shared" si="10"/>
        <v>0</v>
      </c>
    </row>
    <row r="308" spans="2:19" x14ac:dyDescent="0.15">
      <c r="C308" s="52" t="s">
        <v>142</v>
      </c>
      <c r="D308" s="52"/>
      <c r="E308" s="91"/>
      <c r="F308" s="75">
        <f t="shared" si="11"/>
        <v>8000</v>
      </c>
      <c r="G308" s="92"/>
      <c r="H308" s="90">
        <v>0</v>
      </c>
      <c r="I308" s="93"/>
      <c r="J308" s="90">
        <v>7000</v>
      </c>
      <c r="K308" s="93"/>
      <c r="L308" s="90">
        <v>1000</v>
      </c>
      <c r="M308" s="93"/>
      <c r="N308" s="90">
        <v>0</v>
      </c>
      <c r="O308" s="93"/>
      <c r="P308" s="90">
        <v>8000</v>
      </c>
      <c r="Q308" s="93"/>
      <c r="R308" s="90">
        <v>0</v>
      </c>
      <c r="S308" s="86">
        <f t="shared" si="10"/>
        <v>0</v>
      </c>
    </row>
    <row r="309" spans="2:19" x14ac:dyDescent="0.15">
      <c r="C309" s="52" t="s">
        <v>143</v>
      </c>
      <c r="D309" s="52"/>
      <c r="E309" s="91"/>
      <c r="F309" s="75">
        <f t="shared" si="11"/>
        <v>132000</v>
      </c>
      <c r="G309" s="92"/>
      <c r="H309" s="90">
        <v>5000</v>
      </c>
      <c r="I309" s="93"/>
      <c r="J309" s="90">
        <v>57000</v>
      </c>
      <c r="K309" s="93"/>
      <c r="L309" s="90">
        <v>70000</v>
      </c>
      <c r="M309" s="93"/>
      <c r="N309" s="90">
        <v>45000</v>
      </c>
      <c r="O309" s="93"/>
      <c r="P309" s="90">
        <v>87000</v>
      </c>
      <c r="Q309" s="93"/>
      <c r="R309" s="90">
        <v>0</v>
      </c>
      <c r="S309" s="86">
        <f t="shared" si="10"/>
        <v>0</v>
      </c>
    </row>
    <row r="310" spans="2:19" x14ac:dyDescent="0.15">
      <c r="C310" s="52" t="s">
        <v>144</v>
      </c>
      <c r="D310" s="52"/>
      <c r="E310" s="91"/>
      <c r="F310" s="75">
        <f t="shared" si="11"/>
        <v>1525000</v>
      </c>
      <c r="G310" s="92"/>
      <c r="H310" s="90">
        <v>0</v>
      </c>
      <c r="I310" s="93"/>
      <c r="J310" s="90">
        <v>11000</v>
      </c>
      <c r="K310" s="93"/>
      <c r="L310" s="90">
        <v>1514000</v>
      </c>
      <c r="M310" s="93"/>
      <c r="N310" s="90">
        <f>1028000-1000</f>
        <v>1027000</v>
      </c>
      <c r="O310" s="93"/>
      <c r="P310" s="90">
        <f>497000+1000</f>
        <v>498000</v>
      </c>
      <c r="Q310" s="93"/>
      <c r="R310" s="90">
        <v>0</v>
      </c>
      <c r="S310" s="86">
        <f t="shared" si="10"/>
        <v>0</v>
      </c>
    </row>
    <row r="311" spans="2:19" x14ac:dyDescent="0.15">
      <c r="C311" s="88" t="s">
        <v>162</v>
      </c>
      <c r="D311" s="88"/>
      <c r="E311" s="91"/>
      <c r="F311" s="75">
        <f t="shared" si="11"/>
        <v>677000</v>
      </c>
      <c r="G311" s="92"/>
      <c r="H311" s="90">
        <v>91000</v>
      </c>
      <c r="I311" s="93"/>
      <c r="J311" s="90">
        <v>59000</v>
      </c>
      <c r="K311" s="93"/>
      <c r="L311" s="90">
        <f>526000+1000</f>
        <v>527000</v>
      </c>
      <c r="M311" s="93"/>
      <c r="N311" s="90">
        <v>397000</v>
      </c>
      <c r="O311" s="93"/>
      <c r="P311" s="90">
        <v>280000</v>
      </c>
      <c r="Q311" s="93"/>
      <c r="R311" s="90">
        <v>0</v>
      </c>
      <c r="S311" s="86">
        <f t="shared" si="10"/>
        <v>0</v>
      </c>
    </row>
    <row r="312" spans="2:19" x14ac:dyDescent="0.15">
      <c r="C312" s="52" t="s">
        <v>150</v>
      </c>
      <c r="D312" s="52"/>
      <c r="E312" s="91"/>
      <c r="F312" s="94">
        <f t="shared" si="11"/>
        <v>35000</v>
      </c>
      <c r="G312" s="69"/>
      <c r="H312" s="95">
        <v>1000</v>
      </c>
      <c r="I312" s="90"/>
      <c r="J312" s="95">
        <v>30000</v>
      </c>
      <c r="K312" s="90"/>
      <c r="L312" s="95">
        <v>4000</v>
      </c>
      <c r="M312" s="90"/>
      <c r="N312" s="95">
        <v>22000</v>
      </c>
      <c r="O312" s="90"/>
      <c r="P312" s="95">
        <v>13000</v>
      </c>
      <c r="Q312" s="90"/>
      <c r="R312" s="95">
        <v>0</v>
      </c>
      <c r="S312" s="86">
        <f t="shared" si="10"/>
        <v>0</v>
      </c>
    </row>
    <row r="313" spans="2:19" x14ac:dyDescent="0.15"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86">
        <f t="shared" si="10"/>
        <v>0</v>
      </c>
    </row>
    <row r="314" spans="2:19" x14ac:dyDescent="0.15">
      <c r="E314" s="52" t="s">
        <v>3</v>
      </c>
      <c r="F314" s="94">
        <f>SUM(H314:L314)</f>
        <v>66625000</v>
      </c>
      <c r="G314" s="69"/>
      <c r="H314" s="94">
        <f>SUM(H269:H313)</f>
        <v>1491000</v>
      </c>
      <c r="I314" s="75"/>
      <c r="J314" s="94">
        <f>SUM(J269:J313)</f>
        <v>1538000</v>
      </c>
      <c r="K314" s="75"/>
      <c r="L314" s="94">
        <f>SUM(L269:L313)</f>
        <v>63596000</v>
      </c>
      <c r="M314" s="75"/>
      <c r="N314" s="94">
        <f>SUM(N269:N313)</f>
        <v>31966000</v>
      </c>
      <c r="O314" s="75"/>
      <c r="P314" s="94">
        <f>SUM(P269:P313)</f>
        <v>34687000</v>
      </c>
      <c r="Q314" s="75"/>
      <c r="R314" s="94">
        <f>SUM(R269:R313)</f>
        <v>28000</v>
      </c>
      <c r="S314" s="86">
        <f t="shared" si="10"/>
        <v>0</v>
      </c>
    </row>
    <row r="315" spans="2:19" x14ac:dyDescent="0.15">
      <c r="B315" s="88"/>
      <c r="C315" s="88"/>
      <c r="D315" s="88"/>
      <c r="E315" s="88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86">
        <f t="shared" si="10"/>
        <v>0</v>
      </c>
    </row>
    <row r="316" spans="2:19" x14ac:dyDescent="0.15">
      <c r="B316" s="53" t="s">
        <v>28</v>
      </c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86">
        <f t="shared" si="10"/>
        <v>0</v>
      </c>
    </row>
    <row r="317" spans="2:19" x14ac:dyDescent="0.15">
      <c r="C317" s="53" t="s">
        <v>87</v>
      </c>
      <c r="F317" s="75">
        <f t="shared" ref="F317:F324" si="12">SUM(H317:L317)</f>
        <v>152000</v>
      </c>
      <c r="G317" s="92"/>
      <c r="H317" s="90">
        <v>0</v>
      </c>
      <c r="I317" s="93"/>
      <c r="J317" s="90">
        <v>0</v>
      </c>
      <c r="K317" s="93"/>
      <c r="L317" s="90">
        <v>152000</v>
      </c>
      <c r="M317" s="93"/>
      <c r="N317" s="90">
        <v>45000</v>
      </c>
      <c r="O317" s="93"/>
      <c r="P317" s="90">
        <f>108000-1000</f>
        <v>107000</v>
      </c>
      <c r="Q317" s="93"/>
      <c r="R317" s="90">
        <v>0</v>
      </c>
      <c r="S317" s="86">
        <f t="shared" si="10"/>
        <v>0</v>
      </c>
    </row>
    <row r="318" spans="2:19" x14ac:dyDescent="0.15">
      <c r="C318" s="53" t="s">
        <v>535</v>
      </c>
      <c r="F318" s="75">
        <f t="shared" si="12"/>
        <v>1000</v>
      </c>
      <c r="G318" s="92"/>
      <c r="H318" s="90">
        <v>0</v>
      </c>
      <c r="I318" s="93"/>
      <c r="J318" s="90">
        <v>1000</v>
      </c>
      <c r="K318" s="93"/>
      <c r="L318" s="90">
        <v>0</v>
      </c>
      <c r="M318" s="93"/>
      <c r="N318" s="90">
        <v>0</v>
      </c>
      <c r="O318" s="93"/>
      <c r="P318" s="90">
        <v>1000</v>
      </c>
      <c r="Q318" s="93"/>
      <c r="R318" s="90">
        <v>0</v>
      </c>
      <c r="S318" s="86">
        <f t="shared" si="10"/>
        <v>0</v>
      </c>
    </row>
    <row r="319" spans="2:19" x14ac:dyDescent="0.15">
      <c r="C319" s="52" t="s">
        <v>100</v>
      </c>
      <c r="D319" s="52"/>
      <c r="E319" s="91"/>
      <c r="F319" s="75">
        <f t="shared" si="12"/>
        <v>53000</v>
      </c>
      <c r="G319" s="92"/>
      <c r="H319" s="90">
        <v>0</v>
      </c>
      <c r="I319" s="93"/>
      <c r="J319" s="90">
        <v>50000</v>
      </c>
      <c r="K319" s="93"/>
      <c r="L319" s="90">
        <v>3000</v>
      </c>
      <c r="M319" s="93"/>
      <c r="N319" s="90">
        <v>37000</v>
      </c>
      <c r="O319" s="93"/>
      <c r="P319" s="90">
        <v>16000</v>
      </c>
      <c r="Q319" s="93"/>
      <c r="R319" s="90">
        <v>0</v>
      </c>
      <c r="S319" s="86">
        <f t="shared" si="10"/>
        <v>0</v>
      </c>
    </row>
    <row r="320" spans="2:19" x14ac:dyDescent="0.15">
      <c r="C320" s="52" t="s">
        <v>101</v>
      </c>
      <c r="D320" s="52"/>
      <c r="E320" s="91"/>
      <c r="F320" s="75">
        <f t="shared" si="12"/>
        <v>462000</v>
      </c>
      <c r="G320" s="92"/>
      <c r="H320" s="90">
        <v>0</v>
      </c>
      <c r="I320" s="93"/>
      <c r="J320" s="90">
        <v>0</v>
      </c>
      <c r="K320" s="93"/>
      <c r="L320" s="90">
        <f>461000+1000</f>
        <v>462000</v>
      </c>
      <c r="M320" s="93"/>
      <c r="N320" s="90">
        <v>8000</v>
      </c>
      <c r="O320" s="93"/>
      <c r="P320" s="90">
        <v>454000</v>
      </c>
      <c r="Q320" s="93"/>
      <c r="R320" s="90">
        <v>0</v>
      </c>
      <c r="S320" s="86">
        <f t="shared" si="10"/>
        <v>0</v>
      </c>
    </row>
    <row r="321" spans="1:19" x14ac:dyDescent="0.15">
      <c r="C321" s="52" t="s">
        <v>112</v>
      </c>
      <c r="D321" s="52"/>
      <c r="E321" s="91"/>
      <c r="F321" s="75">
        <f t="shared" si="12"/>
        <v>527000</v>
      </c>
      <c r="G321" s="92"/>
      <c r="H321" s="90">
        <v>40000</v>
      </c>
      <c r="I321" s="93"/>
      <c r="J321" s="90">
        <v>365000</v>
      </c>
      <c r="K321" s="93"/>
      <c r="L321" s="90">
        <v>122000</v>
      </c>
      <c r="M321" s="93"/>
      <c r="N321" s="90">
        <v>261000</v>
      </c>
      <c r="O321" s="93"/>
      <c r="P321" s="90">
        <v>266000</v>
      </c>
      <c r="Q321" s="93"/>
      <c r="R321" s="90">
        <v>0</v>
      </c>
      <c r="S321" s="86">
        <f t="shared" si="10"/>
        <v>0</v>
      </c>
    </row>
    <row r="322" spans="1:19" x14ac:dyDescent="0.15">
      <c r="C322" s="52" t="s">
        <v>159</v>
      </c>
      <c r="D322" s="52"/>
      <c r="E322" s="91"/>
      <c r="F322" s="75">
        <f t="shared" si="12"/>
        <v>18000</v>
      </c>
      <c r="G322" s="92"/>
      <c r="H322" s="90">
        <v>0</v>
      </c>
      <c r="I322" s="93"/>
      <c r="J322" s="90">
        <v>0</v>
      </c>
      <c r="K322" s="93"/>
      <c r="L322" s="90">
        <v>18000</v>
      </c>
      <c r="M322" s="93"/>
      <c r="N322" s="90">
        <v>0</v>
      </c>
      <c r="O322" s="93"/>
      <c r="P322" s="90">
        <v>18000</v>
      </c>
      <c r="Q322" s="93"/>
      <c r="R322" s="90">
        <v>0</v>
      </c>
      <c r="S322" s="86">
        <f t="shared" si="10"/>
        <v>0</v>
      </c>
    </row>
    <row r="323" spans="1:19" x14ac:dyDescent="0.15">
      <c r="C323" s="52" t="s">
        <v>122</v>
      </c>
      <c r="D323" s="52"/>
      <c r="E323" s="91"/>
      <c r="F323" s="75">
        <f t="shared" si="12"/>
        <v>5000</v>
      </c>
      <c r="G323" s="92"/>
      <c r="H323" s="90">
        <v>5000</v>
      </c>
      <c r="I323" s="93"/>
      <c r="J323" s="90">
        <v>0</v>
      </c>
      <c r="K323" s="93"/>
      <c r="L323" s="90">
        <v>0</v>
      </c>
      <c r="M323" s="93"/>
      <c r="N323" s="90">
        <v>4000</v>
      </c>
      <c r="O323" s="93"/>
      <c r="P323" s="90">
        <v>1000</v>
      </c>
      <c r="Q323" s="93"/>
      <c r="R323" s="90">
        <v>0</v>
      </c>
      <c r="S323" s="86">
        <f t="shared" si="10"/>
        <v>0</v>
      </c>
    </row>
    <row r="324" spans="1:19" x14ac:dyDescent="0.15">
      <c r="C324" s="52" t="s">
        <v>130</v>
      </c>
      <c r="D324" s="52"/>
      <c r="E324" s="91"/>
      <c r="F324" s="94">
        <f t="shared" si="12"/>
        <v>4000</v>
      </c>
      <c r="G324" s="69"/>
      <c r="H324" s="95">
        <v>0</v>
      </c>
      <c r="I324" s="90"/>
      <c r="J324" s="95">
        <v>0</v>
      </c>
      <c r="K324" s="90"/>
      <c r="L324" s="95">
        <v>4000</v>
      </c>
      <c r="M324" s="90"/>
      <c r="N324" s="95">
        <v>3000</v>
      </c>
      <c r="O324" s="90"/>
      <c r="P324" s="95">
        <v>1000</v>
      </c>
      <c r="Q324" s="90"/>
      <c r="R324" s="95">
        <v>0</v>
      </c>
      <c r="S324" s="86">
        <f t="shared" si="10"/>
        <v>0</v>
      </c>
    </row>
    <row r="325" spans="1:19" x14ac:dyDescent="0.15"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86">
        <f t="shared" si="10"/>
        <v>0</v>
      </c>
    </row>
    <row r="326" spans="1:19" x14ac:dyDescent="0.15">
      <c r="E326" s="52" t="s">
        <v>3</v>
      </c>
      <c r="F326" s="94">
        <f>SUM(H326:L326)</f>
        <v>1222000</v>
      </c>
      <c r="G326" s="69"/>
      <c r="H326" s="94">
        <f>SUM(H317:H325)</f>
        <v>45000</v>
      </c>
      <c r="I326" s="75"/>
      <c r="J326" s="94">
        <f>SUM(J317:J325)</f>
        <v>416000</v>
      </c>
      <c r="K326" s="75"/>
      <c r="L326" s="94">
        <f>SUM(L317:L325)</f>
        <v>761000</v>
      </c>
      <c r="M326" s="75"/>
      <c r="N326" s="94">
        <f>SUM(N317:N325)</f>
        <v>358000</v>
      </c>
      <c r="O326" s="75"/>
      <c r="P326" s="94">
        <f>SUM(P317:P325)</f>
        <v>864000</v>
      </c>
      <c r="Q326" s="75"/>
      <c r="R326" s="94">
        <f>SUM(R317:R325)</f>
        <v>0</v>
      </c>
      <c r="S326" s="86">
        <f t="shared" si="10"/>
        <v>0</v>
      </c>
    </row>
    <row r="327" spans="1:19" x14ac:dyDescent="0.15">
      <c r="A327" s="88"/>
      <c r="B327" s="88"/>
      <c r="C327" s="88"/>
      <c r="D327" s="88"/>
      <c r="E327" s="88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86">
        <f t="shared" si="10"/>
        <v>0</v>
      </c>
    </row>
    <row r="328" spans="1:19" x14ac:dyDescent="0.15">
      <c r="B328" s="53" t="s">
        <v>29</v>
      </c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86">
        <f t="shared" ref="S328:S391" si="13">+F328-N328-P328+R328</f>
        <v>0</v>
      </c>
    </row>
    <row r="329" spans="1:19" x14ac:dyDescent="0.15">
      <c r="C329" s="52" t="s">
        <v>86</v>
      </c>
      <c r="D329" s="52"/>
      <c r="E329" s="91"/>
      <c r="F329" s="75">
        <f>SUM(H329:L329)</f>
        <v>22000</v>
      </c>
      <c r="G329" s="92"/>
      <c r="H329" s="90">
        <v>8000</v>
      </c>
      <c r="I329" s="93"/>
      <c r="J329" s="90">
        <v>14000</v>
      </c>
      <c r="K329" s="93"/>
      <c r="L329" s="90">
        <v>0</v>
      </c>
      <c r="M329" s="93"/>
      <c r="N329" s="90">
        <f>62000-1000</f>
        <v>61000</v>
      </c>
      <c r="O329" s="93"/>
      <c r="P329" s="90">
        <v>61000</v>
      </c>
      <c r="Q329" s="93"/>
      <c r="R329" s="90">
        <v>100000</v>
      </c>
      <c r="S329" s="86">
        <f t="shared" si="13"/>
        <v>0</v>
      </c>
    </row>
    <row r="330" spans="1:19" x14ac:dyDescent="0.15">
      <c r="C330" s="52" t="s">
        <v>90</v>
      </c>
      <c r="D330" s="52"/>
      <c r="E330" s="91"/>
      <c r="G330" s="69"/>
      <c r="H330" s="90"/>
      <c r="I330" s="90"/>
      <c r="J330" s="90"/>
      <c r="K330" s="90"/>
      <c r="L330" s="90"/>
      <c r="M330" s="90"/>
      <c r="N330" s="90"/>
      <c r="O330" s="90"/>
      <c r="P330" s="90"/>
      <c r="Q330" s="90"/>
      <c r="R330" s="90"/>
      <c r="S330" s="86">
        <f t="shared" si="13"/>
        <v>0</v>
      </c>
    </row>
    <row r="331" spans="1:19" x14ac:dyDescent="0.15">
      <c r="C331" s="86"/>
      <c r="D331" s="86"/>
      <c r="E331" s="91" t="s">
        <v>91</v>
      </c>
      <c r="F331" s="75">
        <f t="shared" ref="F331:F342" si="14">SUM(H331:L331)</f>
        <v>279000</v>
      </c>
      <c r="G331" s="92"/>
      <c r="H331" s="90">
        <v>-2000</v>
      </c>
      <c r="I331" s="93"/>
      <c r="J331" s="90">
        <f>18000-1000</f>
        <v>17000</v>
      </c>
      <c r="K331" s="93"/>
      <c r="L331" s="90">
        <v>264000</v>
      </c>
      <c r="M331" s="93"/>
      <c r="N331" s="90">
        <f>210000</f>
        <v>210000</v>
      </c>
      <c r="O331" s="93"/>
      <c r="P331" s="90">
        <v>94000</v>
      </c>
      <c r="Q331" s="93"/>
      <c r="R331" s="90">
        <v>25000</v>
      </c>
      <c r="S331" s="86">
        <f t="shared" si="13"/>
        <v>0</v>
      </c>
    </row>
    <row r="332" spans="1:19" x14ac:dyDescent="0.15">
      <c r="C332" s="52" t="s">
        <v>39</v>
      </c>
      <c r="D332" s="52"/>
      <c r="E332" s="91"/>
      <c r="F332" s="75">
        <f t="shared" si="14"/>
        <v>-34000</v>
      </c>
      <c r="G332" s="92"/>
      <c r="H332" s="90">
        <v>0</v>
      </c>
      <c r="I332" s="93"/>
      <c r="J332" s="90">
        <v>-34000</v>
      </c>
      <c r="K332" s="93"/>
      <c r="L332" s="90">
        <v>0</v>
      </c>
      <c r="M332" s="93"/>
      <c r="N332" s="90">
        <v>452000</v>
      </c>
      <c r="O332" s="93"/>
      <c r="P332" s="90">
        <v>234000</v>
      </c>
      <c r="Q332" s="93"/>
      <c r="R332" s="90">
        <v>720000</v>
      </c>
      <c r="S332" s="86">
        <f t="shared" si="13"/>
        <v>0</v>
      </c>
    </row>
    <row r="333" spans="1:19" x14ac:dyDescent="0.15">
      <c r="C333" s="52" t="s">
        <v>99</v>
      </c>
      <c r="D333" s="52"/>
      <c r="E333" s="91"/>
      <c r="F333" s="75">
        <f t="shared" si="14"/>
        <v>118000</v>
      </c>
      <c r="G333" s="92"/>
      <c r="H333" s="90">
        <v>117000</v>
      </c>
      <c r="I333" s="93"/>
      <c r="J333" s="90">
        <v>1000</v>
      </c>
      <c r="K333" s="93"/>
      <c r="L333" s="90">
        <v>0</v>
      </c>
      <c r="M333" s="93"/>
      <c r="N333" s="90">
        <v>75000</v>
      </c>
      <c r="O333" s="93"/>
      <c r="P333" s="90">
        <v>43000</v>
      </c>
      <c r="Q333" s="93"/>
      <c r="R333" s="90">
        <v>0</v>
      </c>
      <c r="S333" s="86">
        <f t="shared" si="13"/>
        <v>0</v>
      </c>
    </row>
    <row r="334" spans="1:19" x14ac:dyDescent="0.15">
      <c r="C334" s="52" t="s">
        <v>165</v>
      </c>
      <c r="D334" s="52"/>
      <c r="E334" s="91"/>
      <c r="F334" s="75">
        <f t="shared" si="14"/>
        <v>42000</v>
      </c>
      <c r="G334" s="92"/>
      <c r="H334" s="90">
        <v>1000</v>
      </c>
      <c r="I334" s="93"/>
      <c r="J334" s="90">
        <v>41000</v>
      </c>
      <c r="K334" s="93"/>
      <c r="L334" s="90">
        <v>0</v>
      </c>
      <c r="M334" s="93"/>
      <c r="N334" s="90">
        <v>48000</v>
      </c>
      <c r="O334" s="93"/>
      <c r="P334" s="90">
        <v>75000</v>
      </c>
      <c r="Q334" s="93"/>
      <c r="R334" s="90">
        <v>81000</v>
      </c>
      <c r="S334" s="86">
        <f t="shared" si="13"/>
        <v>0</v>
      </c>
    </row>
    <row r="335" spans="1:19" x14ac:dyDescent="0.15">
      <c r="C335" s="52" t="s">
        <v>109</v>
      </c>
      <c r="D335" s="52"/>
      <c r="E335" s="91"/>
      <c r="F335" s="75">
        <f t="shared" si="14"/>
        <v>94000</v>
      </c>
      <c r="G335" s="92"/>
      <c r="H335" s="90">
        <v>84000</v>
      </c>
      <c r="I335" s="93"/>
      <c r="J335" s="90">
        <v>10000</v>
      </c>
      <c r="K335" s="93"/>
      <c r="L335" s="90">
        <v>0</v>
      </c>
      <c r="M335" s="93"/>
      <c r="N335" s="90">
        <v>42000</v>
      </c>
      <c r="O335" s="93"/>
      <c r="P335" s="90">
        <v>52000</v>
      </c>
      <c r="Q335" s="93"/>
      <c r="R335" s="90">
        <v>0</v>
      </c>
      <c r="S335" s="86">
        <f t="shared" si="13"/>
        <v>0</v>
      </c>
    </row>
    <row r="336" spans="1:19" x14ac:dyDescent="0.15">
      <c r="C336" s="52" t="s">
        <v>155</v>
      </c>
      <c r="D336" s="52"/>
      <c r="E336" s="91"/>
      <c r="F336" s="75">
        <f t="shared" si="14"/>
        <v>46000</v>
      </c>
      <c r="G336" s="92"/>
      <c r="H336" s="90">
        <v>2000</v>
      </c>
      <c r="I336" s="93"/>
      <c r="J336" s="90">
        <v>43000</v>
      </c>
      <c r="K336" s="93"/>
      <c r="L336" s="90">
        <v>1000</v>
      </c>
      <c r="M336" s="93"/>
      <c r="N336" s="90">
        <v>78000</v>
      </c>
      <c r="O336" s="93"/>
      <c r="P336" s="90">
        <v>72000</v>
      </c>
      <c r="Q336" s="93"/>
      <c r="R336" s="90">
        <v>104000</v>
      </c>
      <c r="S336" s="86">
        <f t="shared" si="13"/>
        <v>0</v>
      </c>
    </row>
    <row r="337" spans="1:19" x14ac:dyDescent="0.15">
      <c r="C337" s="52" t="s">
        <v>120</v>
      </c>
      <c r="D337" s="52"/>
      <c r="E337" s="91"/>
      <c r="F337" s="75">
        <f t="shared" si="14"/>
        <v>26000</v>
      </c>
      <c r="G337" s="92"/>
      <c r="H337" s="90">
        <v>0</v>
      </c>
      <c r="I337" s="93"/>
      <c r="J337" s="90">
        <v>26000</v>
      </c>
      <c r="K337" s="93"/>
      <c r="L337" s="90">
        <v>0</v>
      </c>
      <c r="M337" s="93"/>
      <c r="N337" s="90">
        <v>3000</v>
      </c>
      <c r="O337" s="93"/>
      <c r="P337" s="90">
        <v>23000</v>
      </c>
      <c r="Q337" s="93"/>
      <c r="R337" s="90">
        <v>0</v>
      </c>
      <c r="S337" s="86">
        <f t="shared" si="13"/>
        <v>0</v>
      </c>
    </row>
    <row r="338" spans="1:19" x14ac:dyDescent="0.15">
      <c r="C338" s="52" t="s">
        <v>159</v>
      </c>
      <c r="D338" s="52"/>
      <c r="E338" s="91"/>
      <c r="F338" s="75">
        <f t="shared" si="14"/>
        <v>101000</v>
      </c>
      <c r="G338" s="92"/>
      <c r="H338" s="90">
        <v>101000</v>
      </c>
      <c r="I338" s="93"/>
      <c r="J338" s="90">
        <v>0</v>
      </c>
      <c r="K338" s="93"/>
      <c r="L338" s="90">
        <v>0</v>
      </c>
      <c r="M338" s="93"/>
      <c r="N338" s="90">
        <v>71000</v>
      </c>
      <c r="O338" s="93"/>
      <c r="P338" s="90">
        <v>30000</v>
      </c>
      <c r="Q338" s="93"/>
      <c r="R338" s="90">
        <v>0</v>
      </c>
      <c r="S338" s="86">
        <f t="shared" si="13"/>
        <v>0</v>
      </c>
    </row>
    <row r="339" spans="1:19" x14ac:dyDescent="0.15">
      <c r="C339" s="52" t="s">
        <v>166</v>
      </c>
      <c r="D339" s="52"/>
      <c r="E339" s="91"/>
      <c r="F339" s="75">
        <f t="shared" si="14"/>
        <v>542000</v>
      </c>
      <c r="G339" s="92"/>
      <c r="H339" s="90">
        <v>156000</v>
      </c>
      <c r="I339" s="93"/>
      <c r="J339" s="90">
        <v>345000</v>
      </c>
      <c r="K339" s="93"/>
      <c r="L339" s="90">
        <f>42000-1000</f>
        <v>41000</v>
      </c>
      <c r="M339" s="93"/>
      <c r="N339" s="90">
        <f>1659000+1000</f>
        <v>1660000</v>
      </c>
      <c r="O339" s="93"/>
      <c r="P339" s="90">
        <f>5050000-1000-1000</f>
        <v>5048000</v>
      </c>
      <c r="Q339" s="93"/>
      <c r="R339" s="90">
        <v>6166000</v>
      </c>
      <c r="S339" s="86">
        <f t="shared" si="13"/>
        <v>0</v>
      </c>
    </row>
    <row r="340" spans="1:19" x14ac:dyDescent="0.15">
      <c r="C340" s="52" t="s">
        <v>133</v>
      </c>
      <c r="D340" s="52"/>
      <c r="E340" s="91"/>
      <c r="F340" s="75">
        <f t="shared" si="14"/>
        <v>132000</v>
      </c>
      <c r="G340" s="92"/>
      <c r="H340" s="90">
        <v>0</v>
      </c>
      <c r="I340" s="93"/>
      <c r="J340" s="90">
        <v>132000</v>
      </c>
      <c r="K340" s="93"/>
      <c r="L340" s="90">
        <v>0</v>
      </c>
      <c r="M340" s="93"/>
      <c r="N340" s="90">
        <v>81000</v>
      </c>
      <c r="O340" s="93"/>
      <c r="P340" s="90">
        <v>51000</v>
      </c>
      <c r="Q340" s="93"/>
      <c r="R340" s="90">
        <v>0</v>
      </c>
      <c r="S340" s="86">
        <f t="shared" si="13"/>
        <v>0</v>
      </c>
    </row>
    <row r="341" spans="1:19" x14ac:dyDescent="0.15">
      <c r="C341" s="52" t="s">
        <v>144</v>
      </c>
      <c r="D341" s="52"/>
      <c r="E341" s="91"/>
      <c r="F341" s="75">
        <f t="shared" si="14"/>
        <v>126000</v>
      </c>
      <c r="G341" s="92"/>
      <c r="H341" s="90">
        <v>62000</v>
      </c>
      <c r="I341" s="93"/>
      <c r="J341" s="90">
        <v>64000</v>
      </c>
      <c r="K341" s="93"/>
      <c r="L341" s="90">
        <v>0</v>
      </c>
      <c r="M341" s="93"/>
      <c r="N341" s="90">
        <v>49000</v>
      </c>
      <c r="O341" s="93"/>
      <c r="P341" s="90">
        <v>84000</v>
      </c>
      <c r="Q341" s="93"/>
      <c r="R341" s="90">
        <v>7000</v>
      </c>
      <c r="S341" s="86">
        <f t="shared" si="13"/>
        <v>0</v>
      </c>
    </row>
    <row r="342" spans="1:19" x14ac:dyDescent="0.15">
      <c r="C342" s="52" t="s">
        <v>149</v>
      </c>
      <c r="D342" s="52"/>
      <c r="E342" s="91"/>
      <c r="F342" s="94">
        <f t="shared" si="14"/>
        <v>185000</v>
      </c>
      <c r="G342" s="69"/>
      <c r="H342" s="95">
        <v>185000</v>
      </c>
      <c r="I342" s="90"/>
      <c r="J342" s="95">
        <v>0</v>
      </c>
      <c r="K342" s="90"/>
      <c r="L342" s="95">
        <v>0</v>
      </c>
      <c r="M342" s="90"/>
      <c r="N342" s="95">
        <v>112000</v>
      </c>
      <c r="O342" s="90"/>
      <c r="P342" s="95">
        <v>73000</v>
      </c>
      <c r="Q342" s="90"/>
      <c r="R342" s="95">
        <v>0</v>
      </c>
      <c r="S342" s="86">
        <f t="shared" si="13"/>
        <v>0</v>
      </c>
    </row>
    <row r="343" spans="1:19" x14ac:dyDescent="0.15"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86">
        <f t="shared" si="13"/>
        <v>0</v>
      </c>
    </row>
    <row r="344" spans="1:19" x14ac:dyDescent="0.15">
      <c r="E344" s="52" t="s">
        <v>3</v>
      </c>
      <c r="F344" s="94">
        <f>SUM(H344:L344)</f>
        <v>1679000</v>
      </c>
      <c r="G344" s="69"/>
      <c r="H344" s="94">
        <f>SUM(H329:H343)</f>
        <v>714000</v>
      </c>
      <c r="I344" s="75"/>
      <c r="J344" s="94">
        <f>SUM(J329:J343)</f>
        <v>659000</v>
      </c>
      <c r="K344" s="75"/>
      <c r="L344" s="94">
        <f>SUM(L329:L343)</f>
        <v>306000</v>
      </c>
      <c r="M344" s="75"/>
      <c r="N344" s="94">
        <f>SUM(N329:N343)</f>
        <v>2942000</v>
      </c>
      <c r="O344" s="75"/>
      <c r="P344" s="94">
        <f>SUM(P329:P343)</f>
        <v>5940000</v>
      </c>
      <c r="Q344" s="75"/>
      <c r="R344" s="94">
        <f>SUM(R329:R343)</f>
        <v>7203000</v>
      </c>
      <c r="S344" s="86">
        <f t="shared" si="13"/>
        <v>0</v>
      </c>
    </row>
    <row r="345" spans="1:19" x14ac:dyDescent="0.15"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86">
        <f t="shared" si="13"/>
        <v>0</v>
      </c>
    </row>
    <row r="346" spans="1:19" x14ac:dyDescent="0.15">
      <c r="E346" s="52" t="s">
        <v>167</v>
      </c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86">
        <f t="shared" si="13"/>
        <v>0</v>
      </c>
    </row>
    <row r="347" spans="1:19" x14ac:dyDescent="0.15">
      <c r="E347" s="52" t="s">
        <v>168</v>
      </c>
      <c r="F347" s="94">
        <f>SUM(H347:L347)</f>
        <v>343327000</v>
      </c>
      <c r="G347" s="69"/>
      <c r="H347" s="94">
        <f>+H266+H314+H326+H344</f>
        <v>229214000</v>
      </c>
      <c r="I347" s="75"/>
      <c r="J347" s="94">
        <f>+J266+J314+J326+J344</f>
        <v>28095000</v>
      </c>
      <c r="K347" s="75"/>
      <c r="L347" s="94">
        <f>+L266+L314+L326+L344</f>
        <v>86018000</v>
      </c>
      <c r="M347" s="75"/>
      <c r="N347" s="94">
        <f>+N266+N314+N326+N344</f>
        <v>214203000</v>
      </c>
      <c r="O347" s="75"/>
      <c r="P347" s="94">
        <f>+P266+P314+P326+P344</f>
        <v>136784000</v>
      </c>
      <c r="Q347" s="75"/>
      <c r="R347" s="94">
        <f>+R266+R314+R326+R344</f>
        <v>7660000</v>
      </c>
      <c r="S347" s="86">
        <f t="shared" si="13"/>
        <v>0</v>
      </c>
    </row>
    <row r="348" spans="1:19" x14ac:dyDescent="0.15">
      <c r="E348" s="86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86">
        <f t="shared" si="13"/>
        <v>0</v>
      </c>
    </row>
    <row r="349" spans="1:19" x14ac:dyDescent="0.15">
      <c r="A349" s="79" t="s">
        <v>169</v>
      </c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86">
        <f t="shared" si="13"/>
        <v>0</v>
      </c>
    </row>
    <row r="350" spans="1:19" x14ac:dyDescent="0.15">
      <c r="A350" s="79"/>
      <c r="B350" s="79" t="s">
        <v>170</v>
      </c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86">
        <f t="shared" si="13"/>
        <v>0</v>
      </c>
    </row>
    <row r="351" spans="1:19" x14ac:dyDescent="0.15"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86">
        <f t="shared" si="13"/>
        <v>0</v>
      </c>
    </row>
    <row r="352" spans="1:19" x14ac:dyDescent="0.15">
      <c r="B352" s="53" t="s">
        <v>13</v>
      </c>
      <c r="F352" s="94">
        <f>SUM(H352:L352)</f>
        <v>6128000</v>
      </c>
      <c r="G352" s="69"/>
      <c r="H352" s="95">
        <v>3979000</v>
      </c>
      <c r="I352" s="90"/>
      <c r="J352" s="95">
        <v>1719000</v>
      </c>
      <c r="K352" s="90"/>
      <c r="L352" s="95">
        <v>430000</v>
      </c>
      <c r="M352" s="90"/>
      <c r="N352" s="95">
        <f>3700000-1000</f>
        <v>3699000</v>
      </c>
      <c r="O352" s="90"/>
      <c r="P352" s="95">
        <v>2429000</v>
      </c>
      <c r="Q352" s="90"/>
      <c r="R352" s="95">
        <v>0</v>
      </c>
      <c r="S352" s="86">
        <f t="shared" si="13"/>
        <v>0</v>
      </c>
    </row>
    <row r="353" spans="1:19" x14ac:dyDescent="0.15"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86">
        <f t="shared" si="13"/>
        <v>0</v>
      </c>
    </row>
    <row r="354" spans="1:19" x14ac:dyDescent="0.15">
      <c r="B354" s="53" t="s">
        <v>24</v>
      </c>
      <c r="F354" s="94">
        <f>SUM(H354:L354)</f>
        <v>1466000</v>
      </c>
      <c r="G354" s="69"/>
      <c r="H354" s="95">
        <v>7000</v>
      </c>
      <c r="I354" s="90"/>
      <c r="J354" s="95">
        <f>36000-1000</f>
        <v>35000</v>
      </c>
      <c r="K354" s="90"/>
      <c r="L354" s="95">
        <v>1424000</v>
      </c>
      <c r="M354" s="90"/>
      <c r="N354" s="95">
        <v>894000</v>
      </c>
      <c r="O354" s="90"/>
      <c r="P354" s="95">
        <v>572000</v>
      </c>
      <c r="Q354" s="90"/>
      <c r="R354" s="95">
        <v>0</v>
      </c>
      <c r="S354" s="86">
        <f t="shared" si="13"/>
        <v>0</v>
      </c>
    </row>
    <row r="355" spans="1:19" x14ac:dyDescent="0.15">
      <c r="G355" s="69"/>
      <c r="H355" s="75"/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86">
        <f t="shared" si="13"/>
        <v>0</v>
      </c>
    </row>
    <row r="356" spans="1:19" x14ac:dyDescent="0.15">
      <c r="E356" s="52" t="s">
        <v>171</v>
      </c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86">
        <f t="shared" si="13"/>
        <v>0</v>
      </c>
    </row>
    <row r="357" spans="1:19" x14ac:dyDescent="0.15">
      <c r="E357" s="52" t="s">
        <v>172</v>
      </c>
      <c r="F357" s="94">
        <f>SUM(H357:L357)</f>
        <v>7594000</v>
      </c>
      <c r="G357" s="69"/>
      <c r="H357" s="94">
        <f>+H352+H354</f>
        <v>3986000</v>
      </c>
      <c r="I357" s="75"/>
      <c r="J357" s="94">
        <f>+J352+J354</f>
        <v>1754000</v>
      </c>
      <c r="K357" s="75"/>
      <c r="L357" s="94">
        <f>+L352+L354</f>
        <v>1854000</v>
      </c>
      <c r="M357" s="75"/>
      <c r="N357" s="94">
        <f>+N352+N354</f>
        <v>4593000</v>
      </c>
      <c r="O357" s="75"/>
      <c r="P357" s="94">
        <f>+P352+P354</f>
        <v>3001000</v>
      </c>
      <c r="Q357" s="75"/>
      <c r="R357" s="94">
        <f>+R352+R354</f>
        <v>0</v>
      </c>
      <c r="S357" s="86">
        <f t="shared" si="13"/>
        <v>0</v>
      </c>
    </row>
    <row r="358" spans="1:19" x14ac:dyDescent="0.15">
      <c r="G358" s="69"/>
      <c r="H358" s="75"/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86">
        <f t="shared" si="13"/>
        <v>0</v>
      </c>
    </row>
    <row r="359" spans="1:19" x14ac:dyDescent="0.15">
      <c r="A359" s="79" t="s">
        <v>173</v>
      </c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86">
        <f t="shared" si="13"/>
        <v>0</v>
      </c>
    </row>
    <row r="360" spans="1:19" x14ac:dyDescent="0.15"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86">
        <f t="shared" si="13"/>
        <v>0</v>
      </c>
    </row>
    <row r="361" spans="1:19" x14ac:dyDescent="0.15">
      <c r="B361" s="53" t="s">
        <v>13</v>
      </c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86">
        <f t="shared" si="13"/>
        <v>0</v>
      </c>
    </row>
    <row r="362" spans="1:19" x14ac:dyDescent="0.15">
      <c r="C362" s="52" t="s">
        <v>14</v>
      </c>
      <c r="D362" s="52"/>
      <c r="E362" s="91"/>
      <c r="F362" s="75">
        <f>SUM(H362:L362)</f>
        <v>1969000</v>
      </c>
      <c r="G362" s="92"/>
      <c r="H362" s="90">
        <v>1955000</v>
      </c>
      <c r="I362" s="93"/>
      <c r="J362" s="90">
        <v>14000</v>
      </c>
      <c r="K362" s="93"/>
      <c r="L362" s="90">
        <v>0</v>
      </c>
      <c r="M362" s="93"/>
      <c r="N362" s="90">
        <v>1308000</v>
      </c>
      <c r="O362" s="93"/>
      <c r="P362" s="90">
        <f>662000-1000</f>
        <v>661000</v>
      </c>
      <c r="Q362" s="93"/>
      <c r="R362" s="90">
        <v>0</v>
      </c>
      <c r="S362" s="86">
        <f t="shared" si="13"/>
        <v>0</v>
      </c>
    </row>
    <row r="363" spans="1:19" x14ac:dyDescent="0.15">
      <c r="C363" s="52" t="s">
        <v>39</v>
      </c>
      <c r="D363" s="52"/>
      <c r="E363" s="91"/>
      <c r="F363" s="75">
        <f>SUM(H363:L363)</f>
        <v>4265000</v>
      </c>
      <c r="G363" s="92"/>
      <c r="H363" s="90">
        <v>3069000</v>
      </c>
      <c r="I363" s="93"/>
      <c r="J363" s="90">
        <v>619000</v>
      </c>
      <c r="K363" s="93"/>
      <c r="L363" s="90">
        <v>577000</v>
      </c>
      <c r="M363" s="93"/>
      <c r="N363" s="90">
        <v>2566000</v>
      </c>
      <c r="O363" s="93"/>
      <c r="P363" s="90">
        <v>1699000</v>
      </c>
      <c r="Q363" s="93"/>
      <c r="R363" s="90">
        <v>0</v>
      </c>
      <c r="S363" s="86">
        <f t="shared" si="13"/>
        <v>0</v>
      </c>
    </row>
    <row r="364" spans="1:19" x14ac:dyDescent="0.15">
      <c r="C364" s="52" t="s">
        <v>174</v>
      </c>
      <c r="D364" s="52"/>
      <c r="E364" s="91"/>
      <c r="F364" s="75">
        <f>SUM(H364:L364)</f>
        <v>1663000</v>
      </c>
      <c r="G364" s="92"/>
      <c r="H364" s="90">
        <v>1659000</v>
      </c>
      <c r="I364" s="93"/>
      <c r="J364" s="90">
        <v>4000</v>
      </c>
      <c r="K364" s="93"/>
      <c r="L364" s="90">
        <v>0</v>
      </c>
      <c r="M364" s="93"/>
      <c r="N364" s="90">
        <f>1208000-1000</f>
        <v>1207000</v>
      </c>
      <c r="O364" s="93"/>
      <c r="P364" s="90">
        <v>456000</v>
      </c>
      <c r="Q364" s="93"/>
      <c r="R364" s="90">
        <v>0</v>
      </c>
      <c r="S364" s="86">
        <f t="shared" si="13"/>
        <v>0</v>
      </c>
    </row>
    <row r="365" spans="1:19" x14ac:dyDescent="0.15">
      <c r="C365" s="52" t="s">
        <v>175</v>
      </c>
      <c r="D365" s="52"/>
      <c r="E365" s="91"/>
      <c r="G365" s="92"/>
      <c r="H365" s="90"/>
      <c r="I365" s="93"/>
      <c r="J365" s="90"/>
      <c r="K365" s="93"/>
      <c r="L365" s="90"/>
      <c r="M365" s="93"/>
      <c r="N365" s="90"/>
      <c r="O365" s="93"/>
      <c r="P365" s="90"/>
      <c r="Q365" s="93"/>
      <c r="R365" s="90"/>
      <c r="S365" s="86">
        <f t="shared" si="13"/>
        <v>0</v>
      </c>
    </row>
    <row r="366" spans="1:19" x14ac:dyDescent="0.15">
      <c r="C366" s="91"/>
      <c r="D366" s="91"/>
      <c r="E366" s="52" t="s">
        <v>176</v>
      </c>
      <c r="F366" s="75">
        <f t="shared" ref="F366:F372" si="15">SUM(H366:L366)</f>
        <v>2400000</v>
      </c>
      <c r="G366" s="92"/>
      <c r="H366" s="90">
        <f>2261000+1000</f>
        <v>2262000</v>
      </c>
      <c r="I366" s="93"/>
      <c r="J366" s="90">
        <f>132000-1000</f>
        <v>131000</v>
      </c>
      <c r="K366" s="93"/>
      <c r="L366" s="90">
        <v>7000</v>
      </c>
      <c r="M366" s="93"/>
      <c r="N366" s="90">
        <v>1232000</v>
      </c>
      <c r="O366" s="93"/>
      <c r="P366" s="90">
        <v>1168000</v>
      </c>
      <c r="Q366" s="93"/>
      <c r="R366" s="90">
        <v>0</v>
      </c>
      <c r="S366" s="86">
        <f t="shared" si="13"/>
        <v>0</v>
      </c>
    </row>
    <row r="367" spans="1:19" x14ac:dyDescent="0.15">
      <c r="C367" s="91" t="s">
        <v>25</v>
      </c>
      <c r="D367" s="91"/>
      <c r="F367" s="75">
        <f t="shared" si="15"/>
        <v>79000</v>
      </c>
      <c r="G367" s="92"/>
      <c r="H367" s="90">
        <v>0</v>
      </c>
      <c r="I367" s="93"/>
      <c r="J367" s="90">
        <v>52000</v>
      </c>
      <c r="K367" s="93"/>
      <c r="L367" s="90">
        <v>27000</v>
      </c>
      <c r="M367" s="93"/>
      <c r="N367" s="90">
        <v>96000</v>
      </c>
      <c r="O367" s="93"/>
      <c r="P367" s="90">
        <v>97000</v>
      </c>
      <c r="Q367" s="93"/>
      <c r="R367" s="90">
        <v>114000</v>
      </c>
      <c r="S367" s="86">
        <f t="shared" si="13"/>
        <v>0</v>
      </c>
    </row>
    <row r="368" spans="1:19" x14ac:dyDescent="0.15">
      <c r="C368" s="91" t="s">
        <v>17</v>
      </c>
      <c r="D368" s="91"/>
      <c r="F368" s="75">
        <f t="shared" si="15"/>
        <v>879000</v>
      </c>
      <c r="G368" s="92"/>
      <c r="H368" s="90">
        <v>875000</v>
      </c>
      <c r="I368" s="93"/>
      <c r="J368" s="90">
        <v>3000</v>
      </c>
      <c r="K368" s="93"/>
      <c r="L368" s="90">
        <v>1000</v>
      </c>
      <c r="M368" s="93"/>
      <c r="N368" s="90">
        <v>640000</v>
      </c>
      <c r="O368" s="93"/>
      <c r="P368" s="90">
        <v>239000</v>
      </c>
      <c r="Q368" s="93"/>
      <c r="R368" s="90">
        <v>0</v>
      </c>
      <c r="S368" s="86">
        <f t="shared" si="13"/>
        <v>0</v>
      </c>
    </row>
    <row r="369" spans="1:19" x14ac:dyDescent="0.15">
      <c r="C369" s="91" t="s">
        <v>18</v>
      </c>
      <c r="D369" s="91"/>
      <c r="F369" s="75">
        <f t="shared" si="15"/>
        <v>467000</v>
      </c>
      <c r="G369" s="92"/>
      <c r="H369" s="90">
        <v>467000</v>
      </c>
      <c r="I369" s="93"/>
      <c r="J369" s="90">
        <v>0</v>
      </c>
      <c r="K369" s="93"/>
      <c r="L369" s="90">
        <v>0</v>
      </c>
      <c r="M369" s="93"/>
      <c r="N369" s="90">
        <f>342000+1000</f>
        <v>343000</v>
      </c>
      <c r="O369" s="93"/>
      <c r="P369" s="90">
        <v>124000</v>
      </c>
      <c r="Q369" s="93"/>
      <c r="R369" s="90">
        <v>0</v>
      </c>
      <c r="S369" s="86">
        <f t="shared" si="13"/>
        <v>0</v>
      </c>
    </row>
    <row r="370" spans="1:19" x14ac:dyDescent="0.15">
      <c r="C370" s="52" t="s">
        <v>177</v>
      </c>
      <c r="D370" s="52"/>
      <c r="E370" s="91"/>
      <c r="F370" s="75">
        <f t="shared" si="15"/>
        <v>1917000</v>
      </c>
      <c r="G370" s="92"/>
      <c r="H370" s="90">
        <f>1881000-1000</f>
        <v>1880000</v>
      </c>
      <c r="I370" s="93"/>
      <c r="J370" s="90">
        <v>23000</v>
      </c>
      <c r="K370" s="93"/>
      <c r="L370" s="90">
        <v>14000</v>
      </c>
      <c r="M370" s="93"/>
      <c r="N370" s="90">
        <v>1181000</v>
      </c>
      <c r="O370" s="93"/>
      <c r="P370" s="90">
        <v>736000</v>
      </c>
      <c r="Q370" s="93"/>
      <c r="R370" s="90">
        <v>0</v>
      </c>
      <c r="S370" s="86">
        <f t="shared" si="13"/>
        <v>0</v>
      </c>
    </row>
    <row r="371" spans="1:19" x14ac:dyDescent="0.15">
      <c r="C371" s="91" t="s">
        <v>179</v>
      </c>
      <c r="D371" s="91"/>
      <c r="F371" s="75">
        <f t="shared" si="15"/>
        <v>1750000</v>
      </c>
      <c r="G371" s="92"/>
      <c r="H371" s="90">
        <v>1724000</v>
      </c>
      <c r="I371" s="93"/>
      <c r="J371" s="90">
        <v>0</v>
      </c>
      <c r="K371" s="93"/>
      <c r="L371" s="90">
        <v>26000</v>
      </c>
      <c r="M371" s="93"/>
      <c r="N371" s="90">
        <v>1045000</v>
      </c>
      <c r="O371" s="93"/>
      <c r="P371" s="90">
        <v>705000</v>
      </c>
      <c r="Q371" s="93"/>
      <c r="R371" s="90">
        <v>0</v>
      </c>
      <c r="S371" s="86">
        <f t="shared" si="13"/>
        <v>0</v>
      </c>
    </row>
    <row r="372" spans="1:19" x14ac:dyDescent="0.15">
      <c r="C372" s="52" t="s">
        <v>180</v>
      </c>
      <c r="D372" s="52"/>
      <c r="E372" s="91"/>
      <c r="F372" s="75">
        <f t="shared" si="15"/>
        <v>3000</v>
      </c>
      <c r="G372" s="92"/>
      <c r="H372" s="90">
        <v>1000</v>
      </c>
      <c r="I372" s="93"/>
      <c r="J372" s="90">
        <v>0</v>
      </c>
      <c r="K372" s="93"/>
      <c r="L372" s="90">
        <v>2000</v>
      </c>
      <c r="M372" s="93"/>
      <c r="N372" s="90">
        <v>0</v>
      </c>
      <c r="O372" s="93"/>
      <c r="P372" s="90">
        <v>3000</v>
      </c>
      <c r="Q372" s="93"/>
      <c r="R372" s="90">
        <v>0</v>
      </c>
      <c r="S372" s="86">
        <f t="shared" si="13"/>
        <v>0</v>
      </c>
    </row>
    <row r="373" spans="1:19" x14ac:dyDescent="0.15">
      <c r="C373" s="52" t="s">
        <v>21</v>
      </c>
      <c r="D373" s="52"/>
      <c r="G373" s="92"/>
      <c r="H373" s="90"/>
      <c r="I373" s="93"/>
      <c r="J373" s="90"/>
      <c r="K373" s="93"/>
      <c r="L373" s="90"/>
      <c r="M373" s="93"/>
      <c r="N373" s="90"/>
      <c r="O373" s="93"/>
      <c r="P373" s="90"/>
      <c r="Q373" s="93"/>
      <c r="R373" s="90"/>
      <c r="S373" s="86">
        <f t="shared" si="13"/>
        <v>0</v>
      </c>
    </row>
    <row r="374" spans="1:19" x14ac:dyDescent="0.15">
      <c r="C374" s="86"/>
      <c r="D374" s="86"/>
      <c r="E374" s="91" t="s">
        <v>23</v>
      </c>
      <c r="F374" s="75">
        <f>SUM(H374:L374)</f>
        <v>725000</v>
      </c>
      <c r="G374" s="92"/>
      <c r="H374" s="90">
        <v>725000</v>
      </c>
      <c r="I374" s="93"/>
      <c r="J374" s="90">
        <v>0</v>
      </c>
      <c r="K374" s="93"/>
      <c r="L374" s="90">
        <v>0</v>
      </c>
      <c r="M374" s="93"/>
      <c r="N374" s="90">
        <f>529000+1000</f>
        <v>530000</v>
      </c>
      <c r="O374" s="93"/>
      <c r="P374" s="90">
        <v>195000</v>
      </c>
      <c r="Q374" s="93"/>
      <c r="R374" s="90">
        <v>0</v>
      </c>
      <c r="S374" s="86">
        <f t="shared" si="13"/>
        <v>0</v>
      </c>
    </row>
    <row r="375" spans="1:19" x14ac:dyDescent="0.15">
      <c r="C375" s="86" t="s">
        <v>534</v>
      </c>
      <c r="D375" s="86"/>
      <c r="E375" s="91"/>
      <c r="F375" s="94">
        <f>SUM(H375:L375)</f>
        <v>-2000</v>
      </c>
      <c r="G375" s="69"/>
      <c r="H375" s="95">
        <v>0</v>
      </c>
      <c r="I375" s="90"/>
      <c r="J375" s="95">
        <v>0</v>
      </c>
      <c r="K375" s="90"/>
      <c r="L375" s="95">
        <v>-2000</v>
      </c>
      <c r="M375" s="90"/>
      <c r="N375" s="95">
        <v>0</v>
      </c>
      <c r="O375" s="90"/>
      <c r="P375" s="95">
        <v>-2000</v>
      </c>
      <c r="Q375" s="90"/>
      <c r="R375" s="95">
        <v>0</v>
      </c>
      <c r="S375" s="86">
        <f t="shared" si="13"/>
        <v>0</v>
      </c>
    </row>
    <row r="376" spans="1:19" x14ac:dyDescent="0.15"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86">
        <f t="shared" si="13"/>
        <v>0</v>
      </c>
    </row>
    <row r="377" spans="1:19" x14ac:dyDescent="0.15">
      <c r="E377" s="52" t="s">
        <v>3</v>
      </c>
      <c r="F377" s="94">
        <f>SUM(H377:L377)</f>
        <v>16115000</v>
      </c>
      <c r="G377" s="69"/>
      <c r="H377" s="94">
        <f>SUM(H362:H376)</f>
        <v>14617000</v>
      </c>
      <c r="I377" s="75"/>
      <c r="J377" s="94">
        <f>SUM(J362:J376)</f>
        <v>846000</v>
      </c>
      <c r="K377" s="75"/>
      <c r="L377" s="94">
        <f>SUM(L362:L376)</f>
        <v>652000</v>
      </c>
      <c r="M377" s="75"/>
      <c r="N377" s="94">
        <f>SUM(N362:N376)</f>
        <v>10148000</v>
      </c>
      <c r="O377" s="75"/>
      <c r="P377" s="94">
        <f>SUM(P362:P376)</f>
        <v>6081000</v>
      </c>
      <c r="Q377" s="75"/>
      <c r="R377" s="94">
        <f>SUM(R362:R376)</f>
        <v>114000</v>
      </c>
      <c r="S377" s="86">
        <f t="shared" si="13"/>
        <v>0</v>
      </c>
    </row>
    <row r="378" spans="1:19" x14ac:dyDescent="0.15">
      <c r="A378" s="88"/>
      <c r="B378" s="88"/>
      <c r="C378" s="88"/>
      <c r="D378" s="88"/>
      <c r="E378" s="88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86">
        <f t="shared" si="13"/>
        <v>0</v>
      </c>
    </row>
    <row r="379" spans="1:19" x14ac:dyDescent="0.15">
      <c r="B379" s="53" t="s">
        <v>24</v>
      </c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86">
        <f t="shared" si="13"/>
        <v>0</v>
      </c>
    </row>
    <row r="380" spans="1:19" x14ac:dyDescent="0.15">
      <c r="C380" s="52" t="s">
        <v>39</v>
      </c>
      <c r="D380" s="52"/>
      <c r="E380" s="91"/>
      <c r="F380" s="75">
        <f>SUM(H380:L380)</f>
        <v>1684000</v>
      </c>
      <c r="G380" s="92"/>
      <c r="H380" s="90">
        <v>1586000</v>
      </c>
      <c r="I380" s="93"/>
      <c r="J380" s="90">
        <v>118000</v>
      </c>
      <c r="K380" s="93"/>
      <c r="L380" s="90">
        <v>-20000</v>
      </c>
      <c r="M380" s="93"/>
      <c r="N380" s="90">
        <v>1066000</v>
      </c>
      <c r="O380" s="93"/>
      <c r="P380" s="90">
        <v>618000</v>
      </c>
      <c r="Q380" s="93"/>
      <c r="R380" s="90">
        <v>0</v>
      </c>
      <c r="S380" s="86">
        <f t="shared" si="13"/>
        <v>0</v>
      </c>
    </row>
    <row r="381" spans="1:19" x14ac:dyDescent="0.15">
      <c r="C381" s="52" t="s">
        <v>174</v>
      </c>
      <c r="D381" s="52"/>
      <c r="E381" s="91"/>
      <c r="F381" s="75">
        <f>SUM(H381:L381)</f>
        <v>122000</v>
      </c>
      <c r="G381" s="92"/>
      <c r="H381" s="90">
        <v>0</v>
      </c>
      <c r="I381" s="93"/>
      <c r="J381" s="90">
        <v>0</v>
      </c>
      <c r="K381" s="93"/>
      <c r="L381" s="90">
        <v>122000</v>
      </c>
      <c r="M381" s="93"/>
      <c r="N381" s="90">
        <v>60000</v>
      </c>
      <c r="O381" s="93"/>
      <c r="P381" s="90">
        <f>63000-1000</f>
        <v>62000</v>
      </c>
      <c r="Q381" s="93"/>
      <c r="R381" s="90">
        <v>0</v>
      </c>
      <c r="S381" s="86">
        <f t="shared" si="13"/>
        <v>0</v>
      </c>
    </row>
    <row r="382" spans="1:19" x14ac:dyDescent="0.15">
      <c r="C382" s="52" t="s">
        <v>175</v>
      </c>
      <c r="D382" s="52"/>
      <c r="E382" s="91"/>
      <c r="G382" s="92"/>
      <c r="H382" s="90"/>
      <c r="I382" s="93"/>
      <c r="J382" s="90"/>
      <c r="K382" s="93"/>
      <c r="L382" s="90"/>
      <c r="M382" s="93"/>
      <c r="N382" s="90"/>
      <c r="O382" s="93"/>
      <c r="P382" s="90"/>
      <c r="Q382" s="93"/>
      <c r="R382" s="90"/>
      <c r="S382" s="86">
        <f t="shared" si="13"/>
        <v>0</v>
      </c>
    </row>
    <row r="383" spans="1:19" x14ac:dyDescent="0.15">
      <c r="C383" s="91"/>
      <c r="D383" s="91"/>
      <c r="E383" s="52" t="s">
        <v>176</v>
      </c>
      <c r="F383" s="75">
        <f>SUM(H383:L383)</f>
        <v>119000</v>
      </c>
      <c r="G383" s="92"/>
      <c r="H383" s="90">
        <v>113000</v>
      </c>
      <c r="I383" s="93"/>
      <c r="J383" s="90">
        <v>11000</v>
      </c>
      <c r="K383" s="93"/>
      <c r="L383" s="90">
        <v>-5000</v>
      </c>
      <c r="M383" s="93"/>
      <c r="N383" s="90">
        <v>34000</v>
      </c>
      <c r="O383" s="93"/>
      <c r="P383" s="90">
        <v>85000</v>
      </c>
      <c r="Q383" s="93"/>
      <c r="R383" s="90">
        <v>0</v>
      </c>
      <c r="S383" s="86">
        <f t="shared" si="13"/>
        <v>0</v>
      </c>
    </row>
    <row r="384" spans="1:19" x14ac:dyDescent="0.15">
      <c r="C384" s="91" t="s">
        <v>17</v>
      </c>
      <c r="D384" s="91"/>
      <c r="F384" s="75">
        <f>SUM(H384:L384)</f>
        <v>12000</v>
      </c>
      <c r="G384" s="92"/>
      <c r="H384" s="90">
        <v>0</v>
      </c>
      <c r="I384" s="93"/>
      <c r="J384" s="90">
        <v>0</v>
      </c>
      <c r="K384" s="93"/>
      <c r="L384" s="90">
        <v>12000</v>
      </c>
      <c r="M384" s="93"/>
      <c r="N384" s="90">
        <v>0</v>
      </c>
      <c r="O384" s="93"/>
      <c r="P384" s="90">
        <v>12000</v>
      </c>
      <c r="Q384" s="93"/>
      <c r="R384" s="90">
        <v>0</v>
      </c>
      <c r="S384" s="86">
        <f t="shared" si="13"/>
        <v>0</v>
      </c>
    </row>
    <row r="385" spans="1:19" x14ac:dyDescent="0.15">
      <c r="C385" s="91" t="s">
        <v>177</v>
      </c>
      <c r="D385" s="91"/>
      <c r="F385" s="75">
        <f>SUM(H385:L385)</f>
        <v>1000</v>
      </c>
      <c r="G385" s="92"/>
      <c r="H385" s="90">
        <v>0</v>
      </c>
      <c r="I385" s="93"/>
      <c r="J385" s="90">
        <v>0</v>
      </c>
      <c r="K385" s="93"/>
      <c r="L385" s="90">
        <v>1000</v>
      </c>
      <c r="M385" s="93"/>
      <c r="N385" s="90">
        <v>0</v>
      </c>
      <c r="O385" s="93"/>
      <c r="P385" s="90">
        <v>1000</v>
      </c>
      <c r="Q385" s="93"/>
      <c r="R385" s="90">
        <v>0</v>
      </c>
      <c r="S385" s="86">
        <f t="shared" si="13"/>
        <v>0</v>
      </c>
    </row>
    <row r="386" spans="1:19" x14ac:dyDescent="0.15">
      <c r="C386" s="91" t="s">
        <v>179</v>
      </c>
      <c r="D386" s="91"/>
      <c r="F386" s="75">
        <f>SUM(H386:L386)</f>
        <v>866000</v>
      </c>
      <c r="G386" s="92"/>
      <c r="H386" s="90">
        <v>694000</v>
      </c>
      <c r="I386" s="93"/>
      <c r="J386" s="90">
        <v>111000</v>
      </c>
      <c r="K386" s="93"/>
      <c r="L386" s="90">
        <v>61000</v>
      </c>
      <c r="M386" s="93"/>
      <c r="N386" s="90">
        <f>394000-1000</f>
        <v>393000</v>
      </c>
      <c r="O386" s="93"/>
      <c r="P386" s="90">
        <v>473000</v>
      </c>
      <c r="Q386" s="93"/>
      <c r="R386" s="90">
        <v>0</v>
      </c>
      <c r="S386" s="86">
        <f t="shared" si="13"/>
        <v>0</v>
      </c>
    </row>
    <row r="387" spans="1:19" x14ac:dyDescent="0.15">
      <c r="C387" s="52" t="s">
        <v>180</v>
      </c>
      <c r="D387" s="52"/>
      <c r="E387" s="91"/>
      <c r="F387" s="94">
        <f>SUM(H387:L387)</f>
        <v>1677000</v>
      </c>
      <c r="G387" s="69"/>
      <c r="H387" s="95">
        <v>1000</v>
      </c>
      <c r="I387" s="90"/>
      <c r="J387" s="95">
        <v>1000</v>
      </c>
      <c r="K387" s="90"/>
      <c r="L387" s="95">
        <v>1675000</v>
      </c>
      <c r="M387" s="90"/>
      <c r="N387" s="95">
        <f>1068000-1000</f>
        <v>1067000</v>
      </c>
      <c r="O387" s="90"/>
      <c r="P387" s="95">
        <f>608000+2000</f>
        <v>610000</v>
      </c>
      <c r="Q387" s="90"/>
      <c r="R387" s="95">
        <v>0</v>
      </c>
      <c r="S387" s="86">
        <f t="shared" si="13"/>
        <v>0</v>
      </c>
    </row>
    <row r="388" spans="1:19" x14ac:dyDescent="0.15"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86">
        <f t="shared" si="13"/>
        <v>0</v>
      </c>
    </row>
    <row r="389" spans="1:19" x14ac:dyDescent="0.15">
      <c r="E389" s="52" t="s">
        <v>3</v>
      </c>
      <c r="F389" s="94">
        <f>SUM(H389:L389)</f>
        <v>4481000</v>
      </c>
      <c r="G389" s="69"/>
      <c r="H389" s="94">
        <f>SUM(H380:H388)</f>
        <v>2394000</v>
      </c>
      <c r="I389" s="75"/>
      <c r="J389" s="94">
        <f>SUM(J380:J388)</f>
        <v>241000</v>
      </c>
      <c r="K389" s="75"/>
      <c r="L389" s="94">
        <f>SUM(L380:L388)</f>
        <v>1846000</v>
      </c>
      <c r="M389" s="75"/>
      <c r="N389" s="94">
        <f>SUM(N380:N388)</f>
        <v>2620000</v>
      </c>
      <c r="O389" s="75"/>
      <c r="P389" s="94">
        <f>SUM(P380:P388)</f>
        <v>1861000</v>
      </c>
      <c r="Q389" s="75"/>
      <c r="R389" s="94">
        <f>SUM(R380:R388)</f>
        <v>0</v>
      </c>
      <c r="S389" s="86">
        <f t="shared" si="13"/>
        <v>0</v>
      </c>
    </row>
    <row r="390" spans="1:19" x14ac:dyDescent="0.15">
      <c r="A390" s="88"/>
      <c r="B390" s="88"/>
      <c r="C390" s="88"/>
      <c r="D390" s="88"/>
      <c r="E390" s="88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86">
        <f t="shared" si="13"/>
        <v>0</v>
      </c>
    </row>
    <row r="391" spans="1:19" x14ac:dyDescent="0.15">
      <c r="A391" s="88"/>
      <c r="B391" s="53" t="s">
        <v>28</v>
      </c>
      <c r="C391" s="88"/>
      <c r="D391" s="88"/>
      <c r="F391" s="94">
        <f>SUM(H391:L391)</f>
        <v>5000</v>
      </c>
      <c r="G391" s="69"/>
      <c r="H391" s="95">
        <v>0</v>
      </c>
      <c r="I391" s="90"/>
      <c r="J391" s="95">
        <v>0</v>
      </c>
      <c r="K391" s="90"/>
      <c r="L391" s="95">
        <v>5000</v>
      </c>
      <c r="M391" s="90"/>
      <c r="N391" s="95">
        <v>4000</v>
      </c>
      <c r="O391" s="90"/>
      <c r="P391" s="95">
        <f>2000-1000</f>
        <v>1000</v>
      </c>
      <c r="Q391" s="90"/>
      <c r="R391" s="95">
        <v>0</v>
      </c>
      <c r="S391" s="86">
        <f t="shared" si="13"/>
        <v>0</v>
      </c>
    </row>
    <row r="392" spans="1:19" x14ac:dyDescent="0.15">
      <c r="A392" s="88"/>
      <c r="C392" s="88"/>
      <c r="D392" s="88"/>
      <c r="G392" s="69"/>
      <c r="H392" s="90"/>
      <c r="I392" s="90"/>
      <c r="J392" s="90"/>
      <c r="K392" s="90"/>
      <c r="L392" s="90"/>
      <c r="M392" s="90"/>
      <c r="N392" s="90"/>
      <c r="O392" s="90"/>
      <c r="P392" s="90"/>
      <c r="Q392" s="90"/>
      <c r="R392" s="90"/>
      <c r="S392" s="86">
        <f t="shared" ref="S392:S455" si="16">+F392-N392-P392+R392</f>
        <v>0</v>
      </c>
    </row>
    <row r="393" spans="1:19" x14ac:dyDescent="0.15">
      <c r="E393" s="52" t="s">
        <v>182</v>
      </c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86">
        <f t="shared" si="16"/>
        <v>0</v>
      </c>
    </row>
    <row r="394" spans="1:19" x14ac:dyDescent="0.15">
      <c r="E394" s="52" t="s">
        <v>183</v>
      </c>
      <c r="F394" s="94">
        <f>SUM(H394:L394)</f>
        <v>20601000</v>
      </c>
      <c r="G394" s="69"/>
      <c r="H394" s="94">
        <f>H377+H389+H391</f>
        <v>17011000</v>
      </c>
      <c r="I394" s="75"/>
      <c r="J394" s="94">
        <f>J377+J389+J391</f>
        <v>1087000</v>
      </c>
      <c r="K394" s="75"/>
      <c r="L394" s="94">
        <f>L377+L389+L391</f>
        <v>2503000</v>
      </c>
      <c r="M394" s="75"/>
      <c r="N394" s="94">
        <f>N377+N389+N391</f>
        <v>12772000</v>
      </c>
      <c r="O394" s="75"/>
      <c r="P394" s="94">
        <f>P377+P389+P391</f>
        <v>7943000</v>
      </c>
      <c r="Q394" s="75"/>
      <c r="R394" s="94">
        <f>R377+R389+R391</f>
        <v>114000</v>
      </c>
      <c r="S394" s="86">
        <f t="shared" si="16"/>
        <v>0</v>
      </c>
    </row>
    <row r="395" spans="1:19" x14ac:dyDescent="0.15">
      <c r="A395" s="88"/>
      <c r="B395" s="88"/>
      <c r="C395" s="88"/>
      <c r="D395" s="88"/>
      <c r="E395" s="88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86">
        <f t="shared" si="16"/>
        <v>0</v>
      </c>
    </row>
    <row r="396" spans="1:19" x14ac:dyDescent="0.15">
      <c r="A396" s="79" t="s">
        <v>184</v>
      </c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86">
        <f t="shared" si="16"/>
        <v>0</v>
      </c>
    </row>
    <row r="397" spans="1:19" x14ac:dyDescent="0.15">
      <c r="A397" s="88"/>
      <c r="B397" s="88"/>
      <c r="C397" s="88"/>
      <c r="D397" s="88"/>
      <c r="E397" s="88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86">
        <f t="shared" si="16"/>
        <v>0</v>
      </c>
    </row>
    <row r="398" spans="1:19" x14ac:dyDescent="0.15">
      <c r="A398" s="88"/>
      <c r="B398" s="53" t="s">
        <v>13</v>
      </c>
      <c r="C398" s="88"/>
      <c r="D398" s="88"/>
      <c r="F398" s="94">
        <f>SUM(H398:L398)</f>
        <v>9351000</v>
      </c>
      <c r="G398" s="69"/>
      <c r="H398" s="95">
        <v>4700000</v>
      </c>
      <c r="I398" s="90"/>
      <c r="J398" s="95">
        <v>3305000</v>
      </c>
      <c r="K398" s="90"/>
      <c r="L398" s="95">
        <v>1346000</v>
      </c>
      <c r="M398" s="90"/>
      <c r="N398" s="95">
        <v>6026000</v>
      </c>
      <c r="O398" s="90"/>
      <c r="P398" s="95">
        <v>3325000</v>
      </c>
      <c r="Q398" s="90"/>
      <c r="R398" s="95">
        <v>0</v>
      </c>
      <c r="S398" s="86">
        <f t="shared" si="16"/>
        <v>0</v>
      </c>
    </row>
    <row r="399" spans="1:19" x14ac:dyDescent="0.15">
      <c r="G399" s="69"/>
      <c r="H399" s="75"/>
      <c r="I399" s="90"/>
      <c r="J399" s="75"/>
      <c r="K399" s="90"/>
      <c r="L399" s="75"/>
      <c r="M399" s="90"/>
      <c r="N399" s="75"/>
      <c r="O399" s="90"/>
      <c r="P399" s="75"/>
      <c r="Q399" s="90"/>
      <c r="R399" s="75"/>
      <c r="S399" s="86">
        <f t="shared" si="16"/>
        <v>0</v>
      </c>
    </row>
    <row r="400" spans="1:19" x14ac:dyDescent="0.15">
      <c r="B400" s="53" t="s">
        <v>24</v>
      </c>
      <c r="F400" s="94">
        <f>SUM(H400:L400)</f>
        <v>7083000</v>
      </c>
      <c r="G400" s="69"/>
      <c r="H400" s="95">
        <v>101000</v>
      </c>
      <c r="I400" s="90"/>
      <c r="J400" s="95">
        <v>184000</v>
      </c>
      <c r="K400" s="90"/>
      <c r="L400" s="95">
        <v>6798000</v>
      </c>
      <c r="M400" s="90"/>
      <c r="N400" s="95">
        <v>3759000</v>
      </c>
      <c r="O400" s="90"/>
      <c r="P400" s="95">
        <v>3741000</v>
      </c>
      <c r="Q400" s="90"/>
      <c r="R400" s="95">
        <v>417000</v>
      </c>
      <c r="S400" s="86">
        <f t="shared" si="16"/>
        <v>0</v>
      </c>
    </row>
    <row r="401" spans="1:19" x14ac:dyDescent="0.15">
      <c r="A401" s="88"/>
      <c r="B401" s="88"/>
      <c r="C401" s="88"/>
      <c r="D401" s="88"/>
      <c r="E401" s="88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86">
        <f t="shared" si="16"/>
        <v>0</v>
      </c>
    </row>
    <row r="402" spans="1:19" x14ac:dyDescent="0.15">
      <c r="A402" s="88"/>
      <c r="B402" s="53" t="s">
        <v>29</v>
      </c>
      <c r="C402" s="88"/>
      <c r="D402" s="88"/>
      <c r="F402" s="94">
        <f>SUM(H402:L402)</f>
        <v>11291000</v>
      </c>
      <c r="G402" s="69"/>
      <c r="H402" s="95">
        <v>366000</v>
      </c>
      <c r="I402" s="90"/>
      <c r="J402" s="95">
        <v>10685000</v>
      </c>
      <c r="K402" s="90"/>
      <c r="L402" s="95">
        <f>241000-1000</f>
        <v>240000</v>
      </c>
      <c r="M402" s="90"/>
      <c r="N402" s="95">
        <v>5327000</v>
      </c>
      <c r="O402" s="90"/>
      <c r="P402" s="95">
        <v>5964000</v>
      </c>
      <c r="Q402" s="90"/>
      <c r="R402" s="95">
        <v>0</v>
      </c>
      <c r="S402" s="86">
        <f t="shared" si="16"/>
        <v>0</v>
      </c>
    </row>
    <row r="403" spans="1:19" x14ac:dyDescent="0.15">
      <c r="A403" s="88"/>
      <c r="C403" s="88"/>
      <c r="D403" s="88"/>
      <c r="E403" s="88"/>
      <c r="G403" s="69"/>
      <c r="H403" s="90"/>
      <c r="I403" s="90"/>
      <c r="J403" s="90"/>
      <c r="K403" s="90"/>
      <c r="L403" s="90"/>
      <c r="M403" s="90"/>
      <c r="N403" s="90"/>
      <c r="O403" s="90"/>
      <c r="P403" s="90"/>
      <c r="Q403" s="90"/>
      <c r="R403" s="90"/>
      <c r="S403" s="86">
        <f t="shared" si="16"/>
        <v>0</v>
      </c>
    </row>
    <row r="404" spans="1:19" x14ac:dyDescent="0.15">
      <c r="E404" s="52" t="s">
        <v>185</v>
      </c>
      <c r="F404" s="94">
        <f>SUM(H404:L404)</f>
        <v>27725000</v>
      </c>
      <c r="G404" s="99"/>
      <c r="H404" s="94">
        <f>H398+H400+H402</f>
        <v>5167000</v>
      </c>
      <c r="I404" s="94"/>
      <c r="J404" s="94">
        <f>J398+J400+J402</f>
        <v>14174000</v>
      </c>
      <c r="K404" s="94"/>
      <c r="L404" s="94">
        <f>L398+L400+L402</f>
        <v>8384000</v>
      </c>
      <c r="M404" s="94"/>
      <c r="N404" s="94">
        <f>N398+N400+N402</f>
        <v>15112000</v>
      </c>
      <c r="O404" s="94"/>
      <c r="P404" s="94">
        <f>P398+P400+P402</f>
        <v>13030000</v>
      </c>
      <c r="Q404" s="94"/>
      <c r="R404" s="94">
        <f>R398+R400+R402</f>
        <v>417000</v>
      </c>
      <c r="S404" s="86">
        <f t="shared" si="16"/>
        <v>0</v>
      </c>
    </row>
    <row r="405" spans="1:19" x14ac:dyDescent="0.15">
      <c r="A405" s="88"/>
      <c r="B405" s="88"/>
      <c r="C405" s="88"/>
      <c r="D405" s="88"/>
      <c r="E405" s="88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86">
        <f t="shared" si="16"/>
        <v>0</v>
      </c>
    </row>
    <row r="406" spans="1:19" x14ac:dyDescent="0.15">
      <c r="A406" s="79" t="s">
        <v>186</v>
      </c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86">
        <f t="shared" si="16"/>
        <v>0</v>
      </c>
    </row>
    <row r="407" spans="1:19" x14ac:dyDescent="0.15">
      <c r="A407" s="88"/>
      <c r="B407" s="88"/>
      <c r="C407" s="88"/>
      <c r="D407" s="88"/>
      <c r="E407" s="88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86">
        <f t="shared" si="16"/>
        <v>0</v>
      </c>
    </row>
    <row r="408" spans="1:19" x14ac:dyDescent="0.15">
      <c r="B408" s="53" t="s">
        <v>13</v>
      </c>
      <c r="F408" s="94">
        <f>SUM(H408:L408)</f>
        <v>24251000</v>
      </c>
      <c r="G408" s="69"/>
      <c r="H408" s="95">
        <v>16182000</v>
      </c>
      <c r="I408" s="90"/>
      <c r="J408" s="95">
        <v>5414000</v>
      </c>
      <c r="K408" s="90"/>
      <c r="L408" s="95">
        <v>2655000</v>
      </c>
      <c r="M408" s="90"/>
      <c r="N408" s="95">
        <v>16484000</v>
      </c>
      <c r="O408" s="90"/>
      <c r="P408" s="95">
        <v>7767000</v>
      </c>
      <c r="Q408" s="90"/>
      <c r="R408" s="95">
        <v>0</v>
      </c>
      <c r="S408" s="86">
        <f t="shared" si="16"/>
        <v>0</v>
      </c>
    </row>
    <row r="409" spans="1:19" x14ac:dyDescent="0.15">
      <c r="B409" s="88"/>
      <c r="C409" s="88"/>
      <c r="D409" s="88"/>
      <c r="E409" s="88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86">
        <f t="shared" si="16"/>
        <v>0</v>
      </c>
    </row>
    <row r="410" spans="1:19" x14ac:dyDescent="0.15">
      <c r="B410" s="53" t="s">
        <v>24</v>
      </c>
      <c r="C410" s="52"/>
      <c r="D410" s="52"/>
      <c r="E410" s="91"/>
      <c r="F410" s="94">
        <f>SUM(H410:L410)</f>
        <v>49967000</v>
      </c>
      <c r="G410" s="69"/>
      <c r="H410" s="95">
        <v>478000</v>
      </c>
      <c r="I410" s="90"/>
      <c r="J410" s="95">
        <v>2703000</v>
      </c>
      <c r="K410" s="90"/>
      <c r="L410" s="95">
        <v>46786000</v>
      </c>
      <c r="M410" s="90"/>
      <c r="N410" s="95">
        <v>16999000</v>
      </c>
      <c r="O410" s="90"/>
      <c r="P410" s="95">
        <v>32968000</v>
      </c>
      <c r="Q410" s="90"/>
      <c r="R410" s="95">
        <v>0</v>
      </c>
      <c r="S410" s="86">
        <f t="shared" si="16"/>
        <v>0</v>
      </c>
    </row>
    <row r="411" spans="1:19" x14ac:dyDescent="0.15">
      <c r="A411" s="88"/>
      <c r="B411" s="88"/>
      <c r="C411" s="88"/>
      <c r="D411" s="88"/>
      <c r="E411" s="88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86">
        <f t="shared" si="16"/>
        <v>0</v>
      </c>
    </row>
    <row r="412" spans="1:19" x14ac:dyDescent="0.15">
      <c r="B412" s="53" t="s">
        <v>28</v>
      </c>
      <c r="F412" s="94">
        <f>SUM(H412:L412)</f>
        <v>1120000</v>
      </c>
      <c r="G412" s="69"/>
      <c r="H412" s="95">
        <v>997000</v>
      </c>
      <c r="I412" s="90"/>
      <c r="J412" s="95">
        <v>114000</v>
      </c>
      <c r="K412" s="90"/>
      <c r="L412" s="95">
        <v>9000</v>
      </c>
      <c r="M412" s="90"/>
      <c r="N412" s="95">
        <v>705000</v>
      </c>
      <c r="O412" s="90"/>
      <c r="P412" s="95">
        <v>415000</v>
      </c>
      <c r="Q412" s="90"/>
      <c r="R412" s="95">
        <v>0</v>
      </c>
      <c r="S412" s="86">
        <f t="shared" si="16"/>
        <v>0</v>
      </c>
    </row>
    <row r="413" spans="1:19" x14ac:dyDescent="0.15">
      <c r="G413" s="69"/>
      <c r="H413" s="75"/>
      <c r="I413" s="75"/>
      <c r="J413" s="75"/>
      <c r="K413" s="75"/>
      <c r="L413" s="75"/>
      <c r="M413" s="75"/>
      <c r="N413" s="75"/>
      <c r="O413" s="75"/>
      <c r="P413" s="75"/>
      <c r="Q413" s="75"/>
      <c r="R413" s="75"/>
      <c r="S413" s="86">
        <f t="shared" si="16"/>
        <v>0</v>
      </c>
    </row>
    <row r="414" spans="1:19" x14ac:dyDescent="0.15">
      <c r="B414" s="53" t="s">
        <v>29</v>
      </c>
      <c r="F414" s="94">
        <f>SUM(H414:L414)</f>
        <v>1789000</v>
      </c>
      <c r="G414" s="69"/>
      <c r="H414" s="95">
        <v>1000</v>
      </c>
      <c r="I414" s="90"/>
      <c r="J414" s="95">
        <v>16000</v>
      </c>
      <c r="K414" s="90"/>
      <c r="L414" s="95">
        <v>1772000</v>
      </c>
      <c r="M414" s="90"/>
      <c r="N414" s="95">
        <f>741000-1000</f>
        <v>740000</v>
      </c>
      <c r="O414" s="90"/>
      <c r="P414" s="95">
        <v>1049000</v>
      </c>
      <c r="Q414" s="90"/>
      <c r="R414" s="95">
        <v>0</v>
      </c>
      <c r="S414" s="86">
        <f t="shared" si="16"/>
        <v>0</v>
      </c>
    </row>
    <row r="415" spans="1:19" x14ac:dyDescent="0.15">
      <c r="G415" s="69"/>
      <c r="H415" s="75"/>
      <c r="I415" s="75"/>
      <c r="J415" s="75"/>
      <c r="K415" s="75"/>
      <c r="L415" s="75"/>
      <c r="M415" s="75"/>
      <c r="N415" s="75"/>
      <c r="O415" s="75"/>
      <c r="P415" s="75"/>
      <c r="Q415" s="75"/>
      <c r="R415" s="75"/>
      <c r="S415" s="86">
        <f t="shared" si="16"/>
        <v>0</v>
      </c>
    </row>
    <row r="416" spans="1:19" x14ac:dyDescent="0.15">
      <c r="E416" s="52" t="s">
        <v>187</v>
      </c>
      <c r="F416" s="94">
        <f>SUM(H416:L416)</f>
        <v>77127000</v>
      </c>
      <c r="G416" s="69"/>
      <c r="H416" s="94">
        <f>+H408+H410+H414+H412</f>
        <v>17658000</v>
      </c>
      <c r="I416" s="75"/>
      <c r="J416" s="94">
        <f>+J408+J410+J414+J412</f>
        <v>8247000</v>
      </c>
      <c r="K416" s="75"/>
      <c r="L416" s="94">
        <f>+L408+L410+L414+L412</f>
        <v>51222000</v>
      </c>
      <c r="M416" s="75"/>
      <c r="N416" s="94">
        <f>+N408+N410+N414+N412</f>
        <v>34928000</v>
      </c>
      <c r="O416" s="75"/>
      <c r="P416" s="94">
        <f>+P408+P410+P414+P412</f>
        <v>42199000</v>
      </c>
      <c r="Q416" s="75"/>
      <c r="R416" s="94">
        <f>+R408+R410+R414+R412</f>
        <v>0</v>
      </c>
      <c r="S416" s="86">
        <f t="shared" si="16"/>
        <v>0</v>
      </c>
    </row>
    <row r="417" spans="1:19" x14ac:dyDescent="0.15">
      <c r="G417" s="69"/>
      <c r="H417" s="75"/>
      <c r="I417" s="75"/>
      <c r="J417" s="75"/>
      <c r="K417" s="75"/>
      <c r="L417" s="75"/>
      <c r="M417" s="75"/>
      <c r="N417" s="75"/>
      <c r="O417" s="75"/>
      <c r="P417" s="75"/>
      <c r="Q417" s="75"/>
      <c r="R417" s="75"/>
      <c r="S417" s="86">
        <f t="shared" si="16"/>
        <v>0</v>
      </c>
    </row>
    <row r="418" spans="1:19" x14ac:dyDescent="0.15">
      <c r="A418" s="79" t="s">
        <v>188</v>
      </c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86">
        <f t="shared" si="16"/>
        <v>0</v>
      </c>
    </row>
    <row r="419" spans="1:19" x14ac:dyDescent="0.15">
      <c r="A419" s="79"/>
      <c r="B419" s="79" t="s">
        <v>189</v>
      </c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86">
        <f t="shared" si="16"/>
        <v>0</v>
      </c>
    </row>
    <row r="420" spans="1:19" x14ac:dyDescent="0.15">
      <c r="A420" s="88"/>
      <c r="B420" s="88"/>
      <c r="C420" s="88"/>
      <c r="D420" s="88"/>
      <c r="E420" s="88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86">
        <f t="shared" si="16"/>
        <v>0</v>
      </c>
    </row>
    <row r="421" spans="1:19" x14ac:dyDescent="0.15">
      <c r="B421" s="53" t="s">
        <v>13</v>
      </c>
      <c r="F421" s="94">
        <f>SUM(H421:L421)</f>
        <v>9300000</v>
      </c>
      <c r="G421" s="69"/>
      <c r="H421" s="95">
        <f>5734000+1000</f>
        <v>5735000</v>
      </c>
      <c r="I421" s="90"/>
      <c r="J421" s="95">
        <v>1718000</v>
      </c>
      <c r="K421" s="90"/>
      <c r="L421" s="95">
        <f>1848000-1000</f>
        <v>1847000</v>
      </c>
      <c r="M421" s="90"/>
      <c r="N421" s="95">
        <f>6101000-1000</f>
        <v>6100000</v>
      </c>
      <c r="O421" s="90"/>
      <c r="P421" s="95">
        <v>3200000</v>
      </c>
      <c r="Q421" s="90"/>
      <c r="R421" s="95">
        <v>0</v>
      </c>
      <c r="S421" s="86">
        <f t="shared" si="16"/>
        <v>0</v>
      </c>
    </row>
    <row r="422" spans="1:19" x14ac:dyDescent="0.15">
      <c r="A422" s="88"/>
      <c r="B422" s="88"/>
      <c r="C422" s="88"/>
      <c r="D422" s="88"/>
      <c r="E422" s="88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86">
        <f t="shared" si="16"/>
        <v>0</v>
      </c>
    </row>
    <row r="423" spans="1:19" x14ac:dyDescent="0.15">
      <c r="B423" s="53" t="s">
        <v>24</v>
      </c>
      <c r="F423" s="94">
        <f>SUM(H423:L423)</f>
        <v>576000</v>
      </c>
      <c r="G423" s="69"/>
      <c r="H423" s="95">
        <v>30000</v>
      </c>
      <c r="I423" s="90"/>
      <c r="J423" s="95">
        <v>29000</v>
      </c>
      <c r="K423" s="90"/>
      <c r="L423" s="95">
        <v>517000</v>
      </c>
      <c r="M423" s="90"/>
      <c r="N423" s="95">
        <v>389000</v>
      </c>
      <c r="O423" s="90"/>
      <c r="P423" s="95">
        <v>187000</v>
      </c>
      <c r="Q423" s="90"/>
      <c r="R423" s="95">
        <v>0</v>
      </c>
      <c r="S423" s="86">
        <f t="shared" si="16"/>
        <v>0</v>
      </c>
    </row>
    <row r="424" spans="1:19" x14ac:dyDescent="0.15"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86">
        <f t="shared" si="16"/>
        <v>0</v>
      </c>
    </row>
    <row r="425" spans="1:19" x14ac:dyDescent="0.15">
      <c r="B425" s="53" t="s">
        <v>28</v>
      </c>
      <c r="F425" s="94">
        <f>SUM(H425:L425)</f>
        <v>229000</v>
      </c>
      <c r="G425" s="69"/>
      <c r="H425" s="95">
        <v>134000</v>
      </c>
      <c r="I425" s="90"/>
      <c r="J425" s="95">
        <v>0</v>
      </c>
      <c r="K425" s="90"/>
      <c r="L425" s="95">
        <v>95000</v>
      </c>
      <c r="M425" s="90"/>
      <c r="N425" s="95">
        <v>80000</v>
      </c>
      <c r="O425" s="90"/>
      <c r="P425" s="95">
        <v>149000</v>
      </c>
      <c r="Q425" s="90"/>
      <c r="R425" s="95">
        <v>0</v>
      </c>
      <c r="S425" s="86">
        <f t="shared" si="16"/>
        <v>0</v>
      </c>
    </row>
    <row r="426" spans="1:19" x14ac:dyDescent="0.15"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86">
        <f t="shared" si="16"/>
        <v>0</v>
      </c>
    </row>
    <row r="427" spans="1:19" x14ac:dyDescent="0.15">
      <c r="E427" s="52" t="s">
        <v>190</v>
      </c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86">
        <f t="shared" si="16"/>
        <v>0</v>
      </c>
    </row>
    <row r="428" spans="1:19" x14ac:dyDescent="0.15">
      <c r="E428" s="52" t="s">
        <v>191</v>
      </c>
      <c r="F428" s="94">
        <f>SUM(H428:L428)</f>
        <v>10105000</v>
      </c>
      <c r="G428" s="69"/>
      <c r="H428" s="94">
        <f>H421+H423+H425</f>
        <v>5899000</v>
      </c>
      <c r="I428" s="75"/>
      <c r="J428" s="94">
        <f>J421+J423+J425</f>
        <v>1747000</v>
      </c>
      <c r="K428" s="75"/>
      <c r="L428" s="94">
        <f>L421+L423+L425</f>
        <v>2459000</v>
      </c>
      <c r="M428" s="75"/>
      <c r="N428" s="94">
        <f>N421+N423+N425</f>
        <v>6569000</v>
      </c>
      <c r="O428" s="75"/>
      <c r="P428" s="94">
        <f>P421+P423+P425</f>
        <v>3536000</v>
      </c>
      <c r="Q428" s="75"/>
      <c r="R428" s="94">
        <f>R421+R423+R425</f>
        <v>0</v>
      </c>
      <c r="S428" s="86">
        <f t="shared" si="16"/>
        <v>0</v>
      </c>
    </row>
    <row r="429" spans="1:19" x14ac:dyDescent="0.15">
      <c r="A429" s="88"/>
      <c r="B429" s="88"/>
      <c r="C429" s="88"/>
      <c r="D429" s="88"/>
      <c r="E429" s="88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86">
        <f t="shared" si="16"/>
        <v>0</v>
      </c>
    </row>
    <row r="430" spans="1:19" x14ac:dyDescent="0.15">
      <c r="A430" s="79" t="s">
        <v>192</v>
      </c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86">
        <f t="shared" si="16"/>
        <v>0</v>
      </c>
    </row>
    <row r="431" spans="1:19" x14ac:dyDescent="0.15">
      <c r="A431" s="88"/>
      <c r="B431" s="88"/>
      <c r="C431" s="88"/>
      <c r="D431" s="88"/>
      <c r="E431" s="88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86">
        <f t="shared" si="16"/>
        <v>0</v>
      </c>
    </row>
    <row r="432" spans="1:19" x14ac:dyDescent="0.15">
      <c r="B432" s="53" t="s">
        <v>13</v>
      </c>
      <c r="F432" s="94">
        <f>SUM(H432:L432)</f>
        <v>40967000</v>
      </c>
      <c r="G432" s="69"/>
      <c r="H432" s="95">
        <v>5038000</v>
      </c>
      <c r="I432" s="90"/>
      <c r="J432" s="95">
        <v>474000</v>
      </c>
      <c r="K432" s="90"/>
      <c r="L432" s="95">
        <v>35455000</v>
      </c>
      <c r="M432" s="90"/>
      <c r="N432" s="95">
        <v>6146000</v>
      </c>
      <c r="O432" s="90"/>
      <c r="P432" s="95">
        <v>34821000</v>
      </c>
      <c r="Q432" s="90"/>
      <c r="R432" s="95">
        <v>0</v>
      </c>
      <c r="S432" s="86">
        <f t="shared" si="16"/>
        <v>0</v>
      </c>
    </row>
    <row r="433" spans="1:19" x14ac:dyDescent="0.15">
      <c r="A433" s="88"/>
      <c r="B433" s="88"/>
      <c r="C433" s="88"/>
      <c r="D433" s="88"/>
      <c r="E433" s="88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86">
        <f t="shared" si="16"/>
        <v>0</v>
      </c>
    </row>
    <row r="434" spans="1:19" x14ac:dyDescent="0.15">
      <c r="B434" s="53" t="s">
        <v>24</v>
      </c>
      <c r="F434" s="94">
        <f>SUM(H434:L434)</f>
        <v>1710000</v>
      </c>
      <c r="G434" s="69"/>
      <c r="H434" s="95">
        <v>4000</v>
      </c>
      <c r="I434" s="90"/>
      <c r="J434" s="95">
        <v>10000</v>
      </c>
      <c r="K434" s="90"/>
      <c r="L434" s="95">
        <v>1696000</v>
      </c>
      <c r="M434" s="90"/>
      <c r="N434" s="95">
        <v>968000</v>
      </c>
      <c r="O434" s="90"/>
      <c r="P434" s="95">
        <v>742000</v>
      </c>
      <c r="Q434" s="90"/>
      <c r="R434" s="95">
        <v>0</v>
      </c>
      <c r="S434" s="86">
        <f t="shared" si="16"/>
        <v>0</v>
      </c>
    </row>
    <row r="435" spans="1:19" x14ac:dyDescent="0.15">
      <c r="A435" s="88"/>
      <c r="B435" s="88"/>
      <c r="C435" s="88"/>
      <c r="D435" s="88"/>
      <c r="E435" s="88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86">
        <f t="shared" si="16"/>
        <v>0</v>
      </c>
    </row>
    <row r="436" spans="1:19" x14ac:dyDescent="0.15">
      <c r="B436" s="53" t="s">
        <v>28</v>
      </c>
      <c r="F436" s="94">
        <f>SUM(H436:L436)</f>
        <v>261000</v>
      </c>
      <c r="G436" s="69"/>
      <c r="H436" s="95">
        <v>0</v>
      </c>
      <c r="I436" s="90"/>
      <c r="J436" s="95">
        <v>261000</v>
      </c>
      <c r="K436" s="90"/>
      <c r="L436" s="95">
        <v>0</v>
      </c>
      <c r="M436" s="90"/>
      <c r="N436" s="95">
        <f>162000+1000</f>
        <v>163000</v>
      </c>
      <c r="O436" s="90"/>
      <c r="P436" s="95">
        <v>98000</v>
      </c>
      <c r="Q436" s="90"/>
      <c r="R436" s="95">
        <v>0</v>
      </c>
      <c r="S436" s="86">
        <f t="shared" si="16"/>
        <v>0</v>
      </c>
    </row>
    <row r="437" spans="1:19" x14ac:dyDescent="0.15"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86">
        <f t="shared" si="16"/>
        <v>0</v>
      </c>
    </row>
    <row r="438" spans="1:19" x14ac:dyDescent="0.15">
      <c r="B438" s="53" t="s">
        <v>29</v>
      </c>
      <c r="F438" s="94">
        <f>SUM(H438:L438)</f>
        <v>-55000</v>
      </c>
      <c r="G438" s="69"/>
      <c r="H438" s="95">
        <v>0</v>
      </c>
      <c r="I438" s="90"/>
      <c r="J438" s="95">
        <f>-55000</f>
        <v>-55000</v>
      </c>
      <c r="K438" s="90"/>
      <c r="L438" s="95">
        <v>0</v>
      </c>
      <c r="M438" s="90"/>
      <c r="N438" s="95">
        <v>5000</v>
      </c>
      <c r="O438" s="90"/>
      <c r="P438" s="95">
        <v>-60000</v>
      </c>
      <c r="Q438" s="90"/>
      <c r="R438" s="95">
        <v>0</v>
      </c>
      <c r="S438" s="86">
        <f t="shared" si="16"/>
        <v>0</v>
      </c>
    </row>
    <row r="439" spans="1:19" x14ac:dyDescent="0.15"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86">
        <f t="shared" si="16"/>
        <v>0</v>
      </c>
    </row>
    <row r="440" spans="1:19" x14ac:dyDescent="0.15">
      <c r="E440" s="52" t="s">
        <v>193</v>
      </c>
      <c r="F440" s="94">
        <f>SUM(H440:L440)</f>
        <v>42883000</v>
      </c>
      <c r="G440" s="69"/>
      <c r="H440" s="94">
        <f>+H432+H434+H436+H438</f>
        <v>5042000</v>
      </c>
      <c r="I440" s="75"/>
      <c r="J440" s="94">
        <f>+J432+J434+J436+J438</f>
        <v>690000</v>
      </c>
      <c r="K440" s="75"/>
      <c r="L440" s="94">
        <f>+L432+L434+L436+L438</f>
        <v>37151000</v>
      </c>
      <c r="M440" s="75"/>
      <c r="N440" s="94">
        <f>+N432+N434+N436+N438</f>
        <v>7282000</v>
      </c>
      <c r="O440" s="75"/>
      <c r="P440" s="94">
        <f>+P432+P434+P436+P438</f>
        <v>35601000</v>
      </c>
      <c r="Q440" s="75"/>
      <c r="R440" s="94">
        <f>+R432+R434+R436+R438</f>
        <v>0</v>
      </c>
      <c r="S440" s="86">
        <f t="shared" si="16"/>
        <v>0</v>
      </c>
    </row>
    <row r="441" spans="1:19" x14ac:dyDescent="0.15">
      <c r="A441" s="88"/>
      <c r="B441" s="88"/>
      <c r="C441" s="88"/>
      <c r="D441" s="88"/>
      <c r="E441" s="88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86">
        <f t="shared" si="16"/>
        <v>0</v>
      </c>
    </row>
    <row r="442" spans="1:19" x14ac:dyDescent="0.15">
      <c r="A442" s="79" t="s">
        <v>194</v>
      </c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86">
        <f t="shared" si="16"/>
        <v>0</v>
      </c>
    </row>
    <row r="443" spans="1:19" x14ac:dyDescent="0.15"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86">
        <f t="shared" si="16"/>
        <v>0</v>
      </c>
    </row>
    <row r="444" spans="1:19" x14ac:dyDescent="0.15">
      <c r="B444" s="53" t="s">
        <v>13</v>
      </c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86">
        <f t="shared" si="16"/>
        <v>0</v>
      </c>
    </row>
    <row r="445" spans="1:19" x14ac:dyDescent="0.15">
      <c r="C445" s="52" t="s">
        <v>195</v>
      </c>
      <c r="D445" s="52"/>
      <c r="E445" s="91"/>
      <c r="F445" s="75">
        <f t="shared" ref="F445:F453" si="17">SUM(H445:L445)</f>
        <v>714000</v>
      </c>
      <c r="G445" s="92"/>
      <c r="H445" s="90">
        <v>7000</v>
      </c>
      <c r="I445" s="93"/>
      <c r="J445" s="90">
        <v>1000</v>
      </c>
      <c r="K445" s="93"/>
      <c r="L445" s="90">
        <v>706000</v>
      </c>
      <c r="M445" s="93"/>
      <c r="N445" s="90">
        <f>207000-1000</f>
        <v>206000</v>
      </c>
      <c r="O445" s="93"/>
      <c r="P445" s="90">
        <v>508000</v>
      </c>
      <c r="Q445" s="93"/>
      <c r="R445" s="90">
        <v>0</v>
      </c>
      <c r="S445" s="86">
        <f t="shared" si="16"/>
        <v>0</v>
      </c>
    </row>
    <row r="446" spans="1:19" x14ac:dyDescent="0.15">
      <c r="C446" s="52" t="s">
        <v>196</v>
      </c>
      <c r="D446" s="52"/>
      <c r="E446" s="91"/>
      <c r="F446" s="75">
        <f t="shared" si="17"/>
        <v>129000</v>
      </c>
      <c r="G446" s="92"/>
      <c r="H446" s="90">
        <v>0</v>
      </c>
      <c r="I446" s="93"/>
      <c r="J446" s="90">
        <v>0</v>
      </c>
      <c r="K446" s="93"/>
      <c r="L446" s="90">
        <v>129000</v>
      </c>
      <c r="M446" s="93"/>
      <c r="N446" s="90">
        <v>61000</v>
      </c>
      <c r="O446" s="93"/>
      <c r="P446" s="90">
        <v>68000</v>
      </c>
      <c r="Q446" s="93"/>
      <c r="R446" s="90">
        <v>0</v>
      </c>
      <c r="S446" s="86">
        <f t="shared" si="16"/>
        <v>0</v>
      </c>
    </row>
    <row r="447" spans="1:19" x14ac:dyDescent="0.15">
      <c r="C447" s="52" t="s">
        <v>197</v>
      </c>
      <c r="D447" s="52"/>
      <c r="E447" s="91"/>
      <c r="F447" s="75">
        <f t="shared" si="17"/>
        <v>10000</v>
      </c>
      <c r="G447" s="92"/>
      <c r="H447" s="90">
        <v>0</v>
      </c>
      <c r="I447" s="93"/>
      <c r="J447" s="90">
        <v>0</v>
      </c>
      <c r="K447" s="93"/>
      <c r="L447" s="90">
        <v>10000</v>
      </c>
      <c r="M447" s="93"/>
      <c r="N447" s="90">
        <v>0</v>
      </c>
      <c r="O447" s="93"/>
      <c r="P447" s="90">
        <v>10000</v>
      </c>
      <c r="Q447" s="93"/>
      <c r="R447" s="90">
        <v>0</v>
      </c>
      <c r="S447" s="86">
        <f t="shared" si="16"/>
        <v>0</v>
      </c>
    </row>
    <row r="448" spans="1:19" x14ac:dyDescent="0.15">
      <c r="C448" s="91" t="s">
        <v>198</v>
      </c>
      <c r="D448" s="91"/>
      <c r="F448" s="75">
        <f t="shared" si="17"/>
        <v>106000</v>
      </c>
      <c r="G448" s="92"/>
      <c r="H448" s="90">
        <v>10000</v>
      </c>
      <c r="I448" s="93"/>
      <c r="J448" s="90">
        <v>0</v>
      </c>
      <c r="K448" s="93"/>
      <c r="L448" s="90">
        <v>96000</v>
      </c>
      <c r="M448" s="93"/>
      <c r="N448" s="90">
        <v>0</v>
      </c>
      <c r="O448" s="93"/>
      <c r="P448" s="90">
        <f>105000+1000</f>
        <v>106000</v>
      </c>
      <c r="Q448" s="93"/>
      <c r="R448" s="90">
        <v>0</v>
      </c>
      <c r="S448" s="86">
        <f t="shared" si="16"/>
        <v>0</v>
      </c>
    </row>
    <row r="449" spans="1:19" x14ac:dyDescent="0.15">
      <c r="C449" s="91" t="s">
        <v>199</v>
      </c>
      <c r="D449" s="91"/>
      <c r="F449" s="75">
        <f t="shared" si="17"/>
        <v>8000</v>
      </c>
      <c r="G449" s="92"/>
      <c r="H449" s="90">
        <v>0</v>
      </c>
      <c r="I449" s="93"/>
      <c r="J449" s="90">
        <v>0</v>
      </c>
      <c r="K449" s="93"/>
      <c r="L449" s="90">
        <v>8000</v>
      </c>
      <c r="M449" s="93"/>
      <c r="N449" s="90">
        <v>0</v>
      </c>
      <c r="O449" s="93"/>
      <c r="P449" s="90">
        <v>8000</v>
      </c>
      <c r="Q449" s="93"/>
      <c r="R449" s="90">
        <v>0</v>
      </c>
      <c r="S449" s="86">
        <f t="shared" si="16"/>
        <v>0</v>
      </c>
    </row>
    <row r="450" spans="1:19" x14ac:dyDescent="0.15">
      <c r="C450" s="91" t="s">
        <v>200</v>
      </c>
      <c r="D450" s="91"/>
      <c r="F450" s="75">
        <f t="shared" si="17"/>
        <v>49000</v>
      </c>
      <c r="G450" s="92"/>
      <c r="H450" s="90">
        <v>0</v>
      </c>
      <c r="I450" s="93"/>
      <c r="J450" s="90">
        <v>3000</v>
      </c>
      <c r="K450" s="93"/>
      <c r="L450" s="90">
        <v>46000</v>
      </c>
      <c r="M450" s="93"/>
      <c r="N450" s="90">
        <v>15000</v>
      </c>
      <c r="O450" s="93"/>
      <c r="P450" s="90">
        <v>34000</v>
      </c>
      <c r="Q450" s="93"/>
      <c r="R450" s="90">
        <v>0</v>
      </c>
      <c r="S450" s="86">
        <f t="shared" si="16"/>
        <v>0</v>
      </c>
    </row>
    <row r="451" spans="1:19" x14ac:dyDescent="0.15">
      <c r="C451" s="91" t="s">
        <v>115</v>
      </c>
      <c r="D451" s="91"/>
      <c r="F451" s="75">
        <f t="shared" si="17"/>
        <v>322000</v>
      </c>
      <c r="G451" s="92"/>
      <c r="H451" s="90">
        <v>139000</v>
      </c>
      <c r="I451" s="93"/>
      <c r="J451" s="90">
        <v>183000</v>
      </c>
      <c r="K451" s="93"/>
      <c r="L451" s="90">
        <v>0</v>
      </c>
      <c r="M451" s="93"/>
      <c r="N451" s="90">
        <v>235000</v>
      </c>
      <c r="O451" s="93"/>
      <c r="P451" s="90">
        <v>87000</v>
      </c>
      <c r="Q451" s="93"/>
      <c r="R451" s="90">
        <v>0</v>
      </c>
      <c r="S451" s="86">
        <f t="shared" si="16"/>
        <v>0</v>
      </c>
    </row>
    <row r="452" spans="1:19" x14ac:dyDescent="0.15">
      <c r="C452" s="91" t="s">
        <v>201</v>
      </c>
      <c r="D452" s="91"/>
      <c r="F452" s="75">
        <f t="shared" si="17"/>
        <v>104000</v>
      </c>
      <c r="G452" s="92"/>
      <c r="H452" s="90">
        <v>12000</v>
      </c>
      <c r="I452" s="93"/>
      <c r="J452" s="90">
        <v>0</v>
      </c>
      <c r="K452" s="93"/>
      <c r="L452" s="90">
        <v>92000</v>
      </c>
      <c r="M452" s="93"/>
      <c r="N452" s="90">
        <v>73000</v>
      </c>
      <c r="O452" s="93"/>
      <c r="P452" s="90">
        <v>31000</v>
      </c>
      <c r="Q452" s="93"/>
      <c r="R452" s="90">
        <v>0</v>
      </c>
      <c r="S452" s="86">
        <f t="shared" si="16"/>
        <v>0</v>
      </c>
    </row>
    <row r="453" spans="1:19" x14ac:dyDescent="0.15">
      <c r="C453" s="52" t="s">
        <v>203</v>
      </c>
      <c r="D453" s="52"/>
      <c r="E453" s="91"/>
      <c r="F453" s="94">
        <f t="shared" si="17"/>
        <v>123000</v>
      </c>
      <c r="G453" s="69"/>
      <c r="H453" s="95">
        <v>0</v>
      </c>
      <c r="I453" s="90"/>
      <c r="J453" s="95">
        <v>0</v>
      </c>
      <c r="K453" s="90"/>
      <c r="L453" s="95">
        <v>123000</v>
      </c>
      <c r="M453" s="90"/>
      <c r="N453" s="95">
        <v>56000</v>
      </c>
      <c r="O453" s="90"/>
      <c r="P453" s="95">
        <f>68000-1000</f>
        <v>67000</v>
      </c>
      <c r="Q453" s="90"/>
      <c r="R453" s="95">
        <v>0</v>
      </c>
      <c r="S453" s="86">
        <f t="shared" si="16"/>
        <v>0</v>
      </c>
    </row>
    <row r="454" spans="1:19" x14ac:dyDescent="0.15"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86">
        <f t="shared" si="16"/>
        <v>0</v>
      </c>
    </row>
    <row r="455" spans="1:19" x14ac:dyDescent="0.15">
      <c r="E455" s="52" t="s">
        <v>3</v>
      </c>
      <c r="F455" s="94">
        <f>SUM(H455:L455)</f>
        <v>1565000</v>
      </c>
      <c r="G455" s="69"/>
      <c r="H455" s="94">
        <f>SUM(H445:H454)</f>
        <v>168000</v>
      </c>
      <c r="I455" s="75"/>
      <c r="J455" s="94">
        <f>SUM(J445:J454)</f>
        <v>187000</v>
      </c>
      <c r="K455" s="75"/>
      <c r="L455" s="94">
        <f>SUM(L445:L454)</f>
        <v>1210000</v>
      </c>
      <c r="M455" s="75"/>
      <c r="N455" s="94">
        <f>SUM(N445:N454)</f>
        <v>646000</v>
      </c>
      <c r="O455" s="75"/>
      <c r="P455" s="94">
        <f>SUM(P445:P454)</f>
        <v>919000</v>
      </c>
      <c r="Q455" s="75"/>
      <c r="R455" s="94">
        <f>SUM(R445:R454)</f>
        <v>0</v>
      </c>
      <c r="S455" s="86">
        <f t="shared" si="16"/>
        <v>0</v>
      </c>
    </row>
    <row r="456" spans="1:19" x14ac:dyDescent="0.15">
      <c r="A456" s="88"/>
      <c r="B456" s="88"/>
      <c r="C456" s="88"/>
      <c r="D456" s="88"/>
      <c r="E456" s="88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86">
        <f t="shared" ref="S456:S519" si="18">+F456-N456-P456+R456</f>
        <v>0</v>
      </c>
    </row>
    <row r="457" spans="1:19" x14ac:dyDescent="0.15">
      <c r="B457" s="53" t="s">
        <v>24</v>
      </c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86">
        <f t="shared" si="18"/>
        <v>0</v>
      </c>
    </row>
    <row r="458" spans="1:19" x14ac:dyDescent="0.15">
      <c r="C458" s="52" t="s">
        <v>195</v>
      </c>
      <c r="D458" s="52"/>
      <c r="E458" s="91"/>
      <c r="F458" s="75">
        <f t="shared" ref="F458:F467" si="19">SUM(H458:L458)</f>
        <v>207000</v>
      </c>
      <c r="G458" s="92"/>
      <c r="H458" s="90">
        <v>156000</v>
      </c>
      <c r="I458" s="93"/>
      <c r="J458" s="90">
        <v>42000</v>
      </c>
      <c r="K458" s="93"/>
      <c r="L458" s="90">
        <v>9000</v>
      </c>
      <c r="M458" s="93"/>
      <c r="N458" s="90">
        <f>141000+1000</f>
        <v>142000</v>
      </c>
      <c r="O458" s="93"/>
      <c r="P458" s="90">
        <v>65000</v>
      </c>
      <c r="Q458" s="93"/>
      <c r="R458" s="90">
        <v>0</v>
      </c>
      <c r="S458" s="86">
        <f t="shared" si="18"/>
        <v>0</v>
      </c>
    </row>
    <row r="459" spans="1:19" x14ac:dyDescent="0.15">
      <c r="C459" s="52" t="s">
        <v>196</v>
      </c>
      <c r="D459" s="52"/>
      <c r="E459" s="91"/>
      <c r="F459" s="75">
        <f t="shared" si="19"/>
        <v>501000</v>
      </c>
      <c r="G459" s="92"/>
      <c r="H459" s="90">
        <v>83000</v>
      </c>
      <c r="I459" s="93"/>
      <c r="J459" s="90">
        <v>26000</v>
      </c>
      <c r="K459" s="93"/>
      <c r="L459" s="90">
        <v>392000</v>
      </c>
      <c r="M459" s="93"/>
      <c r="N459" s="90">
        <f>289000+1000</f>
        <v>290000</v>
      </c>
      <c r="O459" s="93"/>
      <c r="P459" s="90">
        <v>211000</v>
      </c>
      <c r="Q459" s="93"/>
      <c r="R459" s="90">
        <v>0</v>
      </c>
      <c r="S459" s="86">
        <f t="shared" si="18"/>
        <v>0</v>
      </c>
    </row>
    <row r="460" spans="1:19" x14ac:dyDescent="0.15">
      <c r="C460" s="52" t="s">
        <v>197</v>
      </c>
      <c r="D460" s="52"/>
      <c r="E460" s="91"/>
      <c r="F460" s="75">
        <f t="shared" si="19"/>
        <v>151000</v>
      </c>
      <c r="G460" s="92"/>
      <c r="H460" s="90">
        <v>99000</v>
      </c>
      <c r="I460" s="93"/>
      <c r="J460" s="90">
        <v>0</v>
      </c>
      <c r="K460" s="93"/>
      <c r="L460" s="90">
        <v>52000</v>
      </c>
      <c r="M460" s="93"/>
      <c r="N460" s="90">
        <v>101000</v>
      </c>
      <c r="O460" s="93"/>
      <c r="P460" s="90">
        <v>50000</v>
      </c>
      <c r="Q460" s="93"/>
      <c r="R460" s="90">
        <v>0</v>
      </c>
      <c r="S460" s="86">
        <f t="shared" si="18"/>
        <v>0</v>
      </c>
    </row>
    <row r="461" spans="1:19" x14ac:dyDescent="0.15">
      <c r="C461" s="91" t="s">
        <v>198</v>
      </c>
      <c r="D461" s="91"/>
      <c r="F461" s="75">
        <f t="shared" si="19"/>
        <v>3938000</v>
      </c>
      <c r="G461" s="92"/>
      <c r="H461" s="90">
        <v>286000</v>
      </c>
      <c r="I461" s="93"/>
      <c r="J461" s="90">
        <v>1567000</v>
      </c>
      <c r="K461" s="93"/>
      <c r="L461" s="90">
        <v>2085000</v>
      </c>
      <c r="M461" s="93"/>
      <c r="N461" s="90">
        <f>1407000-1000</f>
        <v>1406000</v>
      </c>
      <c r="O461" s="93"/>
      <c r="P461" s="90">
        <v>2685000</v>
      </c>
      <c r="Q461" s="93"/>
      <c r="R461" s="90">
        <v>153000</v>
      </c>
      <c r="S461" s="86">
        <f t="shared" si="18"/>
        <v>0</v>
      </c>
    </row>
    <row r="462" spans="1:19" x14ac:dyDescent="0.15">
      <c r="C462" s="91" t="s">
        <v>199</v>
      </c>
      <c r="D462" s="91"/>
      <c r="F462" s="75">
        <f t="shared" si="19"/>
        <v>943000</v>
      </c>
      <c r="G462" s="92"/>
      <c r="H462" s="90">
        <v>435000</v>
      </c>
      <c r="I462" s="93"/>
      <c r="J462" s="90">
        <v>7000</v>
      </c>
      <c r="K462" s="93"/>
      <c r="L462" s="90">
        <v>501000</v>
      </c>
      <c r="M462" s="93"/>
      <c r="N462" s="90">
        <v>413000</v>
      </c>
      <c r="O462" s="93"/>
      <c r="P462" s="90">
        <f>529000+1000</f>
        <v>530000</v>
      </c>
      <c r="Q462" s="93"/>
      <c r="R462" s="90">
        <v>0</v>
      </c>
      <c r="S462" s="86">
        <f t="shared" si="18"/>
        <v>0</v>
      </c>
    </row>
    <row r="463" spans="1:19" x14ac:dyDescent="0.15">
      <c r="C463" s="91" t="s">
        <v>200</v>
      </c>
      <c r="D463" s="91"/>
      <c r="F463" s="75">
        <f t="shared" si="19"/>
        <v>2480000</v>
      </c>
      <c r="G463" s="92"/>
      <c r="H463" s="90">
        <v>307000</v>
      </c>
      <c r="I463" s="93"/>
      <c r="J463" s="90">
        <v>874000</v>
      </c>
      <c r="K463" s="93"/>
      <c r="L463" s="90">
        <v>1299000</v>
      </c>
      <c r="M463" s="93"/>
      <c r="N463" s="90">
        <v>1063000</v>
      </c>
      <c r="O463" s="93"/>
      <c r="P463" s="90">
        <f>1418000-1000</f>
        <v>1417000</v>
      </c>
      <c r="Q463" s="93"/>
      <c r="R463" s="90">
        <v>0</v>
      </c>
      <c r="S463" s="86">
        <f t="shared" si="18"/>
        <v>0</v>
      </c>
    </row>
    <row r="464" spans="1:19" x14ac:dyDescent="0.15">
      <c r="C464" s="91" t="s">
        <v>115</v>
      </c>
      <c r="D464" s="91"/>
      <c r="F464" s="75">
        <f t="shared" si="19"/>
        <v>377000</v>
      </c>
      <c r="G464" s="92"/>
      <c r="H464" s="90">
        <f>44000-1000</f>
        <v>43000</v>
      </c>
      <c r="I464" s="93"/>
      <c r="J464" s="90">
        <v>49000</v>
      </c>
      <c r="K464" s="93"/>
      <c r="L464" s="90">
        <v>285000</v>
      </c>
      <c r="M464" s="93"/>
      <c r="N464" s="90">
        <v>136000</v>
      </c>
      <c r="O464" s="93"/>
      <c r="P464" s="90">
        <f>242000-1000</f>
        <v>241000</v>
      </c>
      <c r="Q464" s="93"/>
      <c r="R464" s="90">
        <v>0</v>
      </c>
      <c r="S464" s="86">
        <f t="shared" si="18"/>
        <v>0</v>
      </c>
    </row>
    <row r="465" spans="1:19" x14ac:dyDescent="0.15">
      <c r="C465" s="91" t="s">
        <v>201</v>
      </c>
      <c r="D465" s="91"/>
      <c r="F465" s="75">
        <f t="shared" si="19"/>
        <v>416000</v>
      </c>
      <c r="G465" s="92"/>
      <c r="H465" s="90">
        <v>130000</v>
      </c>
      <c r="I465" s="93"/>
      <c r="J465" s="90">
        <f>27000+1000</f>
        <v>28000</v>
      </c>
      <c r="K465" s="93"/>
      <c r="L465" s="90">
        <f>259000-1000</f>
        <v>258000</v>
      </c>
      <c r="M465" s="93"/>
      <c r="N465" s="90">
        <v>195000</v>
      </c>
      <c r="O465" s="93"/>
      <c r="P465" s="90">
        <v>221000</v>
      </c>
      <c r="Q465" s="93"/>
      <c r="R465" s="90">
        <v>0</v>
      </c>
      <c r="S465" s="86">
        <f t="shared" si="18"/>
        <v>0</v>
      </c>
    </row>
    <row r="466" spans="1:19" x14ac:dyDescent="0.15">
      <c r="C466" s="52" t="s">
        <v>202</v>
      </c>
      <c r="D466" s="52"/>
      <c r="E466" s="91"/>
      <c r="F466" s="75">
        <f t="shared" si="19"/>
        <v>637000</v>
      </c>
      <c r="G466" s="92"/>
      <c r="H466" s="90">
        <v>182000</v>
      </c>
      <c r="I466" s="93"/>
      <c r="J466" s="90">
        <v>0</v>
      </c>
      <c r="K466" s="93"/>
      <c r="L466" s="90">
        <v>455000</v>
      </c>
      <c r="M466" s="93"/>
      <c r="N466" s="90">
        <v>369000</v>
      </c>
      <c r="O466" s="93"/>
      <c r="P466" s="90">
        <v>268000</v>
      </c>
      <c r="Q466" s="93"/>
      <c r="R466" s="90">
        <v>0</v>
      </c>
      <c r="S466" s="86">
        <f t="shared" si="18"/>
        <v>0</v>
      </c>
    </row>
    <row r="467" spans="1:19" x14ac:dyDescent="0.15">
      <c r="C467" s="52" t="s">
        <v>203</v>
      </c>
      <c r="D467" s="52"/>
      <c r="E467" s="91"/>
      <c r="F467" s="94">
        <f t="shared" si="19"/>
        <v>299000</v>
      </c>
      <c r="G467" s="69"/>
      <c r="H467" s="95">
        <v>104000</v>
      </c>
      <c r="I467" s="90"/>
      <c r="J467" s="95">
        <v>49000</v>
      </c>
      <c r="K467" s="90"/>
      <c r="L467" s="95">
        <v>146000</v>
      </c>
      <c r="M467" s="90"/>
      <c r="N467" s="95">
        <v>126000</v>
      </c>
      <c r="O467" s="90"/>
      <c r="P467" s="95">
        <v>173000</v>
      </c>
      <c r="Q467" s="90"/>
      <c r="R467" s="95">
        <v>0</v>
      </c>
      <c r="S467" s="86">
        <f t="shared" si="18"/>
        <v>0</v>
      </c>
    </row>
    <row r="468" spans="1:19" x14ac:dyDescent="0.15"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86">
        <f t="shared" si="18"/>
        <v>0</v>
      </c>
    </row>
    <row r="469" spans="1:19" x14ac:dyDescent="0.15">
      <c r="E469" s="52" t="s">
        <v>3</v>
      </c>
      <c r="F469" s="94">
        <f>SUM(H469:L469)</f>
        <v>9949000</v>
      </c>
      <c r="G469" s="69"/>
      <c r="H469" s="94">
        <f>SUM(H458:H468)</f>
        <v>1825000</v>
      </c>
      <c r="I469" s="75"/>
      <c r="J469" s="94">
        <f>SUM(J458:J468)</f>
        <v>2642000</v>
      </c>
      <c r="K469" s="75"/>
      <c r="L469" s="94">
        <f>SUM(L458:L468)</f>
        <v>5482000</v>
      </c>
      <c r="M469" s="75"/>
      <c r="N469" s="94">
        <f>SUM(N458:N468)</f>
        <v>4241000</v>
      </c>
      <c r="O469" s="75"/>
      <c r="P469" s="94">
        <f>SUM(P458:P468)</f>
        <v>5861000</v>
      </c>
      <c r="Q469" s="75"/>
      <c r="R469" s="94">
        <f>SUM(R458:R468)</f>
        <v>153000</v>
      </c>
      <c r="S469" s="86">
        <f t="shared" si="18"/>
        <v>0</v>
      </c>
    </row>
    <row r="470" spans="1:19" x14ac:dyDescent="0.15">
      <c r="A470" s="88"/>
      <c r="B470" s="88"/>
      <c r="C470" s="88"/>
      <c r="D470" s="88"/>
      <c r="E470" s="88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86">
        <f t="shared" si="18"/>
        <v>0</v>
      </c>
    </row>
    <row r="471" spans="1:19" x14ac:dyDescent="0.15">
      <c r="B471" s="53" t="s">
        <v>28</v>
      </c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86">
        <f t="shared" si="18"/>
        <v>0</v>
      </c>
    </row>
    <row r="472" spans="1:19" x14ac:dyDescent="0.15">
      <c r="C472" s="91" t="s">
        <v>198</v>
      </c>
      <c r="D472" s="91"/>
      <c r="F472" s="75">
        <f>SUM(H472:L472)</f>
        <v>140000</v>
      </c>
      <c r="G472" s="92"/>
      <c r="H472" s="90">
        <v>0</v>
      </c>
      <c r="I472" s="93"/>
      <c r="J472" s="90">
        <f>5000+1000</f>
        <v>6000</v>
      </c>
      <c r="K472" s="93"/>
      <c r="L472" s="90">
        <v>134000</v>
      </c>
      <c r="M472" s="93"/>
      <c r="N472" s="90">
        <v>56000</v>
      </c>
      <c r="O472" s="93"/>
      <c r="P472" s="90">
        <v>84000</v>
      </c>
      <c r="Q472" s="93"/>
      <c r="R472" s="90">
        <v>0</v>
      </c>
      <c r="S472" s="86">
        <f t="shared" si="18"/>
        <v>0</v>
      </c>
    </row>
    <row r="473" spans="1:19" x14ac:dyDescent="0.15">
      <c r="C473" s="91" t="s">
        <v>115</v>
      </c>
      <c r="D473" s="91"/>
      <c r="F473" s="75">
        <f>SUM(H473:L473)</f>
        <v>15000</v>
      </c>
      <c r="G473" s="92"/>
      <c r="H473" s="90">
        <v>1000</v>
      </c>
      <c r="I473" s="93"/>
      <c r="J473" s="90">
        <v>2000</v>
      </c>
      <c r="K473" s="93"/>
      <c r="L473" s="90">
        <v>12000</v>
      </c>
      <c r="M473" s="93"/>
      <c r="N473" s="90">
        <v>2000</v>
      </c>
      <c r="O473" s="93"/>
      <c r="P473" s="90">
        <v>13000</v>
      </c>
      <c r="Q473" s="93"/>
      <c r="R473" s="90">
        <v>0</v>
      </c>
      <c r="S473" s="86">
        <f t="shared" si="18"/>
        <v>0</v>
      </c>
    </row>
    <row r="474" spans="1:19" x14ac:dyDescent="0.15">
      <c r="F474" s="65"/>
      <c r="G474" s="69"/>
      <c r="H474" s="66"/>
      <c r="I474" s="69"/>
      <c r="J474" s="66"/>
      <c r="K474" s="69"/>
      <c r="L474" s="66"/>
      <c r="M474" s="69"/>
      <c r="N474" s="66"/>
      <c r="O474" s="69"/>
      <c r="P474" s="66"/>
      <c r="Q474" s="69"/>
      <c r="R474" s="66"/>
      <c r="S474" s="86">
        <f t="shared" si="18"/>
        <v>0</v>
      </c>
    </row>
    <row r="475" spans="1:19" x14ac:dyDescent="0.15">
      <c r="E475" s="52" t="s">
        <v>3</v>
      </c>
      <c r="F475" s="94">
        <f>SUM(H475:L475)</f>
        <v>155000</v>
      </c>
      <c r="G475" s="69"/>
      <c r="H475" s="94">
        <f>SUM(H472:H473)</f>
        <v>1000</v>
      </c>
      <c r="I475" s="75"/>
      <c r="J475" s="94">
        <f>SUM(J472:J473)</f>
        <v>8000</v>
      </c>
      <c r="K475" s="75"/>
      <c r="L475" s="94">
        <f>SUM(L472:L473)</f>
        <v>146000</v>
      </c>
      <c r="M475" s="75"/>
      <c r="N475" s="94">
        <f>SUM(N472:N473)</f>
        <v>58000</v>
      </c>
      <c r="O475" s="75"/>
      <c r="P475" s="94">
        <f>SUM(P472:P473)</f>
        <v>97000</v>
      </c>
      <c r="Q475" s="75"/>
      <c r="R475" s="94">
        <f>SUM(R472:R473)</f>
        <v>0</v>
      </c>
      <c r="S475" s="86">
        <f t="shared" si="18"/>
        <v>0</v>
      </c>
    </row>
    <row r="476" spans="1:19" x14ac:dyDescent="0.15">
      <c r="G476" s="69"/>
      <c r="H476" s="75"/>
      <c r="I476" s="75"/>
      <c r="J476" s="75"/>
      <c r="K476" s="75"/>
      <c r="L476" s="75"/>
      <c r="M476" s="75"/>
      <c r="N476" s="75"/>
      <c r="O476" s="75"/>
      <c r="P476" s="75"/>
      <c r="Q476" s="75"/>
      <c r="R476" s="75"/>
      <c r="S476" s="86">
        <f t="shared" si="18"/>
        <v>0</v>
      </c>
    </row>
    <row r="477" spans="1:19" x14ac:dyDescent="0.15">
      <c r="B477" s="53" t="s">
        <v>29</v>
      </c>
      <c r="F477" s="94">
        <f>SUM(H477:L477)</f>
        <v>1000</v>
      </c>
      <c r="G477" s="69"/>
      <c r="H477" s="95">
        <v>0</v>
      </c>
      <c r="I477" s="90"/>
      <c r="J477" s="95">
        <v>0</v>
      </c>
      <c r="K477" s="90"/>
      <c r="L477" s="95">
        <v>1000</v>
      </c>
      <c r="M477" s="90"/>
      <c r="N477" s="95">
        <v>0</v>
      </c>
      <c r="O477" s="90"/>
      <c r="P477" s="95">
        <v>1000</v>
      </c>
      <c r="Q477" s="90"/>
      <c r="R477" s="95">
        <v>0</v>
      </c>
      <c r="S477" s="86">
        <f t="shared" si="18"/>
        <v>0</v>
      </c>
    </row>
    <row r="478" spans="1:19" x14ac:dyDescent="0.15">
      <c r="G478" s="69"/>
      <c r="H478" s="75"/>
      <c r="I478" s="75"/>
      <c r="J478" s="75"/>
      <c r="K478" s="75"/>
      <c r="L478" s="75"/>
      <c r="M478" s="75"/>
      <c r="N478" s="75"/>
      <c r="O478" s="75"/>
      <c r="P478" s="75"/>
      <c r="Q478" s="75"/>
      <c r="R478" s="75"/>
      <c r="S478" s="86">
        <f t="shared" si="18"/>
        <v>0</v>
      </c>
    </row>
    <row r="479" spans="1:19" x14ac:dyDescent="0.15">
      <c r="E479" s="52" t="s">
        <v>204</v>
      </c>
      <c r="F479" s="94">
        <f>SUM(H479:L479)</f>
        <v>11670000</v>
      </c>
      <c r="G479" s="69"/>
      <c r="H479" s="94">
        <f>+H455+H469+H475+H477</f>
        <v>1994000</v>
      </c>
      <c r="I479" s="75"/>
      <c r="J479" s="94">
        <f>+J455+J469+J475+J477</f>
        <v>2837000</v>
      </c>
      <c r="K479" s="75"/>
      <c r="L479" s="94">
        <f>+L455+L469+L475+L477</f>
        <v>6839000</v>
      </c>
      <c r="M479" s="75"/>
      <c r="N479" s="94">
        <f>+N455+N469+N475+N477</f>
        <v>4945000</v>
      </c>
      <c r="O479" s="75"/>
      <c r="P479" s="94">
        <f>+P455+P469+P475+P477</f>
        <v>6878000</v>
      </c>
      <c r="Q479" s="75"/>
      <c r="R479" s="94">
        <f>+R455+R469+R475+R477</f>
        <v>153000</v>
      </c>
      <c r="S479" s="86">
        <f t="shared" si="18"/>
        <v>0</v>
      </c>
    </row>
    <row r="480" spans="1:19" x14ac:dyDescent="0.15">
      <c r="G480" s="69"/>
      <c r="H480" s="75"/>
      <c r="I480" s="75"/>
      <c r="J480" s="75"/>
      <c r="K480" s="75"/>
      <c r="L480" s="75"/>
      <c r="M480" s="75"/>
      <c r="N480" s="75"/>
      <c r="O480" s="75"/>
      <c r="P480" s="75"/>
      <c r="Q480" s="75"/>
      <c r="R480" s="75"/>
      <c r="S480" s="86">
        <f t="shared" si="18"/>
        <v>0</v>
      </c>
    </row>
    <row r="481" spans="1:19" x14ac:dyDescent="0.15">
      <c r="A481" s="79" t="s">
        <v>205</v>
      </c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86">
        <f t="shared" si="18"/>
        <v>0</v>
      </c>
    </row>
    <row r="482" spans="1:19" x14ac:dyDescent="0.15">
      <c r="A482" s="88"/>
      <c r="B482" s="88"/>
      <c r="C482" s="88"/>
      <c r="D482" s="88"/>
      <c r="E482" s="88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86">
        <f t="shared" si="18"/>
        <v>0</v>
      </c>
    </row>
    <row r="483" spans="1:19" x14ac:dyDescent="0.15">
      <c r="B483" s="53" t="s">
        <v>13</v>
      </c>
      <c r="F483" s="94">
        <f>SUM(H483:L483)</f>
        <v>6982000</v>
      </c>
      <c r="G483" s="69"/>
      <c r="H483" s="95">
        <v>5120000</v>
      </c>
      <c r="I483" s="90"/>
      <c r="J483" s="95">
        <v>1500000</v>
      </c>
      <c r="K483" s="90"/>
      <c r="L483" s="95">
        <v>362000</v>
      </c>
      <c r="M483" s="90"/>
      <c r="N483" s="95">
        <v>4468000</v>
      </c>
      <c r="O483" s="90"/>
      <c r="P483" s="95">
        <f>2515000-1000</f>
        <v>2514000</v>
      </c>
      <c r="Q483" s="90"/>
      <c r="R483" s="95">
        <v>0</v>
      </c>
      <c r="S483" s="86">
        <f t="shared" si="18"/>
        <v>0</v>
      </c>
    </row>
    <row r="484" spans="1:19" x14ac:dyDescent="0.15">
      <c r="A484" s="88"/>
      <c r="B484" s="88"/>
      <c r="C484" s="88"/>
      <c r="D484" s="88"/>
      <c r="E484" s="88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86">
        <f t="shared" si="18"/>
        <v>0</v>
      </c>
    </row>
    <row r="485" spans="1:19" x14ac:dyDescent="0.15">
      <c r="B485" s="53" t="s">
        <v>24</v>
      </c>
      <c r="F485" s="94">
        <f>SUM(H485:L485)</f>
        <v>26000</v>
      </c>
      <c r="G485" s="69"/>
      <c r="H485" s="95">
        <v>26000</v>
      </c>
      <c r="I485" s="90"/>
      <c r="J485" s="95">
        <v>0</v>
      </c>
      <c r="K485" s="90"/>
      <c r="L485" s="95">
        <v>0</v>
      </c>
      <c r="M485" s="90"/>
      <c r="N485" s="95">
        <v>18000</v>
      </c>
      <c r="O485" s="90"/>
      <c r="P485" s="95">
        <v>8000</v>
      </c>
      <c r="Q485" s="90"/>
      <c r="R485" s="95">
        <v>0</v>
      </c>
      <c r="S485" s="86">
        <f t="shared" si="18"/>
        <v>0</v>
      </c>
    </row>
    <row r="486" spans="1:19" x14ac:dyDescent="0.15">
      <c r="A486" s="88"/>
      <c r="B486" s="88"/>
      <c r="C486" s="88"/>
      <c r="D486" s="88"/>
      <c r="E486" s="88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86">
        <f t="shared" si="18"/>
        <v>0</v>
      </c>
    </row>
    <row r="487" spans="1:19" x14ac:dyDescent="0.15">
      <c r="A487" s="88"/>
      <c r="B487" s="53" t="s">
        <v>28</v>
      </c>
      <c r="C487" s="88"/>
      <c r="D487" s="88"/>
      <c r="F487" s="94">
        <f>SUM(H487:L487)</f>
        <v>247000</v>
      </c>
      <c r="G487" s="69"/>
      <c r="H487" s="95">
        <v>4000</v>
      </c>
      <c r="I487" s="90"/>
      <c r="J487" s="95">
        <v>5000</v>
      </c>
      <c r="K487" s="90"/>
      <c r="L487" s="95">
        <v>238000</v>
      </c>
      <c r="M487" s="90"/>
      <c r="N487" s="95">
        <v>68000</v>
      </c>
      <c r="O487" s="90"/>
      <c r="P487" s="95">
        <f>178000+1000</f>
        <v>179000</v>
      </c>
      <c r="Q487" s="90"/>
      <c r="R487" s="95">
        <v>0</v>
      </c>
      <c r="S487" s="86">
        <f t="shared" si="18"/>
        <v>0</v>
      </c>
    </row>
    <row r="488" spans="1:19" x14ac:dyDescent="0.15">
      <c r="A488" s="88"/>
      <c r="B488" s="88"/>
      <c r="C488" s="88"/>
      <c r="D488" s="88"/>
      <c r="E488" s="88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86">
        <f t="shared" si="18"/>
        <v>0</v>
      </c>
    </row>
    <row r="489" spans="1:19" x14ac:dyDescent="0.15">
      <c r="E489" s="52" t="s">
        <v>206</v>
      </c>
      <c r="F489" s="94">
        <f>SUM(H489:L489)</f>
        <v>7255000</v>
      </c>
      <c r="G489" s="69"/>
      <c r="H489" s="94">
        <f>+H483+H485+H487</f>
        <v>5150000</v>
      </c>
      <c r="I489" s="75"/>
      <c r="J489" s="94">
        <f>+J483+J485+J487</f>
        <v>1505000</v>
      </c>
      <c r="K489" s="75"/>
      <c r="L489" s="94">
        <f>+L483+L485+L487</f>
        <v>600000</v>
      </c>
      <c r="M489" s="75"/>
      <c r="N489" s="94">
        <f>+N483+N485+N487</f>
        <v>4554000</v>
      </c>
      <c r="O489" s="75"/>
      <c r="P489" s="94">
        <f>+P483+P485+P487</f>
        <v>2701000</v>
      </c>
      <c r="Q489" s="75"/>
      <c r="R489" s="94">
        <f>+R483+R485+R487</f>
        <v>0</v>
      </c>
      <c r="S489" s="86">
        <f t="shared" si="18"/>
        <v>0</v>
      </c>
    </row>
    <row r="490" spans="1:19" x14ac:dyDescent="0.15">
      <c r="A490" s="88"/>
      <c r="B490" s="88"/>
      <c r="C490" s="88"/>
      <c r="D490" s="88"/>
      <c r="E490" s="88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86">
        <f t="shared" si="18"/>
        <v>0</v>
      </c>
    </row>
    <row r="491" spans="1:19" x14ac:dyDescent="0.15">
      <c r="A491" s="79" t="s">
        <v>207</v>
      </c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86">
        <f t="shared" si="18"/>
        <v>0</v>
      </c>
    </row>
    <row r="492" spans="1:19" x14ac:dyDescent="0.15">
      <c r="A492" s="88"/>
      <c r="B492" s="88"/>
      <c r="C492" s="88"/>
      <c r="D492" s="88"/>
      <c r="E492" s="88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86">
        <f t="shared" si="18"/>
        <v>0</v>
      </c>
    </row>
    <row r="493" spans="1:19" x14ac:dyDescent="0.15">
      <c r="B493" s="53" t="s">
        <v>13</v>
      </c>
      <c r="F493" s="94">
        <f>SUM(H493:L493)</f>
        <v>16057000</v>
      </c>
      <c r="G493" s="69"/>
      <c r="H493" s="95">
        <v>2399000</v>
      </c>
      <c r="I493" s="90"/>
      <c r="J493" s="95">
        <v>13642000</v>
      </c>
      <c r="K493" s="90"/>
      <c r="L493" s="95">
        <v>16000</v>
      </c>
      <c r="M493" s="90"/>
      <c r="N493" s="95">
        <v>9588000</v>
      </c>
      <c r="O493" s="90"/>
      <c r="P493" s="95">
        <v>6469000</v>
      </c>
      <c r="Q493" s="90"/>
      <c r="R493" s="95">
        <v>0</v>
      </c>
      <c r="S493" s="86">
        <f t="shared" si="18"/>
        <v>0</v>
      </c>
    </row>
    <row r="494" spans="1:19" x14ac:dyDescent="0.15">
      <c r="A494" s="88"/>
      <c r="B494" s="88"/>
      <c r="C494" s="88"/>
      <c r="D494" s="88"/>
      <c r="E494" s="88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86">
        <f t="shared" si="18"/>
        <v>0</v>
      </c>
    </row>
    <row r="495" spans="1:19" x14ac:dyDescent="0.15">
      <c r="A495" s="79" t="s">
        <v>208</v>
      </c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86">
        <f t="shared" si="18"/>
        <v>0</v>
      </c>
    </row>
    <row r="496" spans="1:19" x14ac:dyDescent="0.15">
      <c r="A496" s="88"/>
      <c r="B496" s="88"/>
      <c r="C496" s="88"/>
      <c r="D496" s="88"/>
      <c r="E496" s="88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86">
        <f t="shared" si="18"/>
        <v>0</v>
      </c>
    </row>
    <row r="497" spans="1:19" x14ac:dyDescent="0.15">
      <c r="B497" s="53" t="s">
        <v>13</v>
      </c>
      <c r="F497" s="94">
        <f>SUM(H497:L497)</f>
        <v>33954000</v>
      </c>
      <c r="G497" s="69"/>
      <c r="H497" s="95">
        <v>0</v>
      </c>
      <c r="I497" s="90"/>
      <c r="J497" s="95">
        <f>33888000+1000</f>
        <v>33889000</v>
      </c>
      <c r="K497" s="90"/>
      <c r="L497" s="95">
        <v>65000</v>
      </c>
      <c r="M497" s="90"/>
      <c r="N497" s="95">
        <v>15153000</v>
      </c>
      <c r="O497" s="90"/>
      <c r="P497" s="95">
        <v>18801000</v>
      </c>
      <c r="Q497" s="90"/>
      <c r="R497" s="95">
        <v>0</v>
      </c>
      <c r="S497" s="86">
        <f t="shared" si="18"/>
        <v>0</v>
      </c>
    </row>
    <row r="498" spans="1:19" x14ac:dyDescent="0.15">
      <c r="A498" s="88"/>
      <c r="B498" s="88"/>
      <c r="C498" s="88"/>
      <c r="D498" s="88"/>
      <c r="E498" s="88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86">
        <f t="shared" si="18"/>
        <v>0</v>
      </c>
    </row>
    <row r="499" spans="1:19" x14ac:dyDescent="0.15">
      <c r="A499" s="79" t="s">
        <v>209</v>
      </c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86">
        <f t="shared" si="18"/>
        <v>0</v>
      </c>
    </row>
    <row r="500" spans="1:19" x14ac:dyDescent="0.15">
      <c r="A500" s="88"/>
      <c r="B500" s="88"/>
      <c r="C500" s="88"/>
      <c r="D500" s="88"/>
      <c r="E500" s="88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86">
        <f t="shared" si="18"/>
        <v>0</v>
      </c>
    </row>
    <row r="501" spans="1:19" x14ac:dyDescent="0.15">
      <c r="B501" s="53" t="s">
        <v>13</v>
      </c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86">
        <f t="shared" si="18"/>
        <v>0</v>
      </c>
    </row>
    <row r="502" spans="1:19" x14ac:dyDescent="0.15">
      <c r="C502" s="52" t="s">
        <v>533</v>
      </c>
      <c r="D502" s="52"/>
      <c r="E502" s="91"/>
      <c r="F502" s="75">
        <f>SUM(H502:L502)</f>
        <v>14000</v>
      </c>
      <c r="G502" s="92"/>
      <c r="H502" s="90">
        <v>0</v>
      </c>
      <c r="I502" s="93"/>
      <c r="J502" s="90">
        <v>0</v>
      </c>
      <c r="K502" s="93"/>
      <c r="L502" s="90">
        <v>14000</v>
      </c>
      <c r="M502" s="93"/>
      <c r="N502" s="90">
        <v>4000</v>
      </c>
      <c r="O502" s="93"/>
      <c r="P502" s="90">
        <v>10000</v>
      </c>
      <c r="Q502" s="93"/>
      <c r="R502" s="90">
        <v>0</v>
      </c>
      <c r="S502" s="86">
        <f t="shared" si="18"/>
        <v>0</v>
      </c>
    </row>
    <row r="503" spans="1:19" x14ac:dyDescent="0.15">
      <c r="C503" s="52" t="s">
        <v>212</v>
      </c>
      <c r="D503" s="52"/>
      <c r="E503" s="91"/>
      <c r="F503" s="75">
        <f>SUM(H503:L503)</f>
        <v>222000</v>
      </c>
      <c r="G503" s="92"/>
      <c r="H503" s="90">
        <v>150000</v>
      </c>
      <c r="I503" s="93"/>
      <c r="J503" s="90">
        <v>1000</v>
      </c>
      <c r="K503" s="93"/>
      <c r="L503" s="90">
        <v>71000</v>
      </c>
      <c r="M503" s="93"/>
      <c r="N503" s="90">
        <v>116000</v>
      </c>
      <c r="O503" s="93"/>
      <c r="P503" s="90">
        <v>106000</v>
      </c>
      <c r="Q503" s="93"/>
      <c r="R503" s="90">
        <v>0</v>
      </c>
      <c r="S503" s="86">
        <f t="shared" si="18"/>
        <v>0</v>
      </c>
    </row>
    <row r="504" spans="1:19" x14ac:dyDescent="0.15">
      <c r="C504" s="52" t="s">
        <v>213</v>
      </c>
      <c r="D504" s="52"/>
      <c r="E504" s="91"/>
      <c r="F504" s="86"/>
      <c r="S504" s="86">
        <f t="shared" si="18"/>
        <v>0</v>
      </c>
    </row>
    <row r="505" spans="1:19" x14ac:dyDescent="0.15">
      <c r="C505" s="52"/>
      <c r="D505" s="52"/>
      <c r="E505" s="91" t="s">
        <v>214</v>
      </c>
      <c r="F505" s="75">
        <f t="shared" ref="F505:F512" si="20">SUM(H505:L505)</f>
        <v>599000</v>
      </c>
      <c r="G505" s="92"/>
      <c r="H505" s="90">
        <v>434000</v>
      </c>
      <c r="I505" s="93"/>
      <c r="J505" s="90">
        <v>-368000</v>
      </c>
      <c r="K505" s="93"/>
      <c r="L505" s="90">
        <v>533000</v>
      </c>
      <c r="M505" s="93"/>
      <c r="N505" s="90">
        <v>313000</v>
      </c>
      <c r="O505" s="93"/>
      <c r="P505" s="90">
        <v>286000</v>
      </c>
      <c r="Q505" s="93"/>
      <c r="R505" s="90">
        <v>0</v>
      </c>
      <c r="S505" s="86">
        <f t="shared" si="18"/>
        <v>0</v>
      </c>
    </row>
    <row r="506" spans="1:19" x14ac:dyDescent="0.15">
      <c r="C506" s="52" t="s">
        <v>215</v>
      </c>
      <c r="D506" s="52"/>
      <c r="E506" s="91"/>
      <c r="F506" s="75">
        <f t="shared" si="20"/>
        <v>24000</v>
      </c>
      <c r="G506" s="92"/>
      <c r="H506" s="90">
        <v>0</v>
      </c>
      <c r="I506" s="93"/>
      <c r="J506" s="90">
        <f>12000+1000</f>
        <v>13000</v>
      </c>
      <c r="K506" s="93"/>
      <c r="L506" s="90">
        <v>11000</v>
      </c>
      <c r="M506" s="93"/>
      <c r="N506" s="90">
        <v>4000</v>
      </c>
      <c r="O506" s="93"/>
      <c r="P506" s="90">
        <v>20000</v>
      </c>
      <c r="Q506" s="93"/>
      <c r="R506" s="90">
        <v>0</v>
      </c>
      <c r="S506" s="86">
        <f t="shared" si="18"/>
        <v>0</v>
      </c>
    </row>
    <row r="507" spans="1:19" x14ac:dyDescent="0.15">
      <c r="C507" s="52" t="s">
        <v>216</v>
      </c>
      <c r="D507" s="52"/>
      <c r="E507" s="91"/>
      <c r="F507" s="75">
        <f t="shared" si="20"/>
        <v>326000</v>
      </c>
      <c r="G507" s="92"/>
      <c r="H507" s="90">
        <v>186000</v>
      </c>
      <c r="I507" s="93"/>
      <c r="J507" s="90">
        <v>13000</v>
      </c>
      <c r="K507" s="93"/>
      <c r="L507" s="90">
        <v>127000</v>
      </c>
      <c r="M507" s="93"/>
      <c r="N507" s="90">
        <v>167000</v>
      </c>
      <c r="O507" s="93"/>
      <c r="P507" s="90">
        <v>159000</v>
      </c>
      <c r="Q507" s="93"/>
      <c r="R507" s="90">
        <v>0</v>
      </c>
      <c r="S507" s="86">
        <f t="shared" si="18"/>
        <v>0</v>
      </c>
    </row>
    <row r="508" spans="1:19" x14ac:dyDescent="0.15">
      <c r="C508" s="52" t="s">
        <v>217</v>
      </c>
      <c r="D508" s="52"/>
      <c r="E508" s="91"/>
      <c r="F508" s="75">
        <f t="shared" si="20"/>
        <v>2000</v>
      </c>
      <c r="G508" s="92"/>
      <c r="H508" s="90">
        <v>2000</v>
      </c>
      <c r="I508" s="93"/>
      <c r="J508" s="90">
        <v>0</v>
      </c>
      <c r="K508" s="93"/>
      <c r="L508" s="90">
        <v>0</v>
      </c>
      <c r="M508" s="93"/>
      <c r="N508" s="90">
        <v>0</v>
      </c>
      <c r="O508" s="93"/>
      <c r="P508" s="90">
        <v>2000</v>
      </c>
      <c r="Q508" s="93"/>
      <c r="R508" s="90">
        <v>0</v>
      </c>
      <c r="S508" s="86">
        <f t="shared" si="18"/>
        <v>0</v>
      </c>
    </row>
    <row r="509" spans="1:19" x14ac:dyDescent="0.15">
      <c r="C509" s="52" t="s">
        <v>277</v>
      </c>
      <c r="D509" s="52"/>
      <c r="E509" s="91"/>
      <c r="F509" s="75">
        <f t="shared" si="20"/>
        <v>1000</v>
      </c>
      <c r="G509" s="92"/>
      <c r="H509" s="90">
        <v>0</v>
      </c>
      <c r="I509" s="93"/>
      <c r="J509" s="90">
        <v>0</v>
      </c>
      <c r="K509" s="93"/>
      <c r="L509" s="90">
        <v>1000</v>
      </c>
      <c r="M509" s="93"/>
      <c r="N509" s="90">
        <v>1000</v>
      </c>
      <c r="O509" s="93"/>
      <c r="P509" s="90">
        <v>0</v>
      </c>
      <c r="Q509" s="93"/>
      <c r="R509" s="90">
        <v>0</v>
      </c>
      <c r="S509" s="86">
        <f t="shared" si="18"/>
        <v>0</v>
      </c>
    </row>
    <row r="510" spans="1:19" x14ac:dyDescent="0.15">
      <c r="C510" s="52" t="s">
        <v>218</v>
      </c>
      <c r="D510" s="52"/>
      <c r="E510" s="91"/>
      <c r="F510" s="75">
        <f t="shared" si="20"/>
        <v>1263000</v>
      </c>
      <c r="G510" s="92"/>
      <c r="H510" s="90">
        <v>1221000</v>
      </c>
      <c r="I510" s="93"/>
      <c r="J510" s="90">
        <v>5000</v>
      </c>
      <c r="K510" s="93"/>
      <c r="L510" s="90">
        <v>37000</v>
      </c>
      <c r="M510" s="93"/>
      <c r="N510" s="90">
        <v>873000</v>
      </c>
      <c r="O510" s="93"/>
      <c r="P510" s="90">
        <v>390000</v>
      </c>
      <c r="Q510" s="93"/>
      <c r="R510" s="90">
        <v>0</v>
      </c>
      <c r="S510" s="86">
        <f t="shared" si="18"/>
        <v>0</v>
      </c>
    </row>
    <row r="511" spans="1:19" x14ac:dyDescent="0.15">
      <c r="C511" s="52" t="s">
        <v>280</v>
      </c>
      <c r="D511" s="52"/>
      <c r="E511" s="91"/>
      <c r="F511" s="75">
        <f t="shared" si="20"/>
        <v>22000</v>
      </c>
      <c r="G511" s="92"/>
      <c r="H511" s="90">
        <v>0</v>
      </c>
      <c r="I511" s="93"/>
      <c r="J511" s="90">
        <v>11000</v>
      </c>
      <c r="K511" s="93"/>
      <c r="L511" s="90">
        <v>11000</v>
      </c>
      <c r="M511" s="93"/>
      <c r="N511" s="90">
        <v>0</v>
      </c>
      <c r="O511" s="93"/>
      <c r="P511" s="90">
        <v>22000</v>
      </c>
      <c r="Q511" s="93"/>
      <c r="R511" s="90">
        <v>0</v>
      </c>
      <c r="S511" s="86">
        <f t="shared" si="18"/>
        <v>0</v>
      </c>
    </row>
    <row r="512" spans="1:19" x14ac:dyDescent="0.15">
      <c r="B512" s="86"/>
      <c r="C512" s="52" t="s">
        <v>220</v>
      </c>
      <c r="D512" s="52"/>
      <c r="E512" s="53"/>
      <c r="F512" s="75">
        <f t="shared" si="20"/>
        <v>2034000</v>
      </c>
      <c r="G512" s="92"/>
      <c r="H512" s="90">
        <v>1373000</v>
      </c>
      <c r="I512" s="93"/>
      <c r="J512" s="90">
        <v>288000</v>
      </c>
      <c r="K512" s="93"/>
      <c r="L512" s="90">
        <v>373000</v>
      </c>
      <c r="M512" s="93"/>
      <c r="N512" s="90">
        <v>1321000</v>
      </c>
      <c r="O512" s="93"/>
      <c r="P512" s="90">
        <v>713000</v>
      </c>
      <c r="Q512" s="93"/>
      <c r="R512" s="90">
        <v>0</v>
      </c>
      <c r="S512" s="86">
        <f t="shared" si="18"/>
        <v>0</v>
      </c>
    </row>
    <row r="513" spans="2:19" x14ac:dyDescent="0.15">
      <c r="B513" s="86"/>
      <c r="C513" s="52" t="s">
        <v>222</v>
      </c>
      <c r="D513" s="52"/>
      <c r="E513" s="53"/>
      <c r="G513" s="92"/>
      <c r="H513" s="90"/>
      <c r="I513" s="93"/>
      <c r="J513" s="90"/>
      <c r="K513" s="93"/>
      <c r="L513" s="90"/>
      <c r="M513" s="93"/>
      <c r="N513" s="90"/>
      <c r="O513" s="93"/>
      <c r="P513" s="90"/>
      <c r="Q513" s="93"/>
      <c r="R513" s="90"/>
      <c r="S513" s="86">
        <f t="shared" si="18"/>
        <v>0</v>
      </c>
    </row>
    <row r="514" spans="2:19" x14ac:dyDescent="0.15">
      <c r="B514" s="86"/>
      <c r="C514" s="52"/>
      <c r="D514" s="52"/>
      <c r="E514" s="53" t="s">
        <v>51</v>
      </c>
      <c r="F514" s="75">
        <f>SUM(H514:L514)</f>
        <v>24000</v>
      </c>
      <c r="G514" s="92"/>
      <c r="H514" s="90">
        <f>1000+1000</f>
        <v>2000</v>
      </c>
      <c r="I514" s="93"/>
      <c r="J514" s="90">
        <v>0</v>
      </c>
      <c r="K514" s="93"/>
      <c r="L514" s="90">
        <v>22000</v>
      </c>
      <c r="M514" s="93"/>
      <c r="N514" s="90">
        <v>6000</v>
      </c>
      <c r="O514" s="93"/>
      <c r="P514" s="90">
        <v>18000</v>
      </c>
      <c r="Q514" s="93"/>
      <c r="R514" s="90"/>
      <c r="S514" s="86">
        <f t="shared" si="18"/>
        <v>0</v>
      </c>
    </row>
    <row r="515" spans="2:19" x14ac:dyDescent="0.15">
      <c r="C515" s="52" t="s">
        <v>532</v>
      </c>
      <c r="D515" s="52"/>
      <c r="E515" s="91"/>
      <c r="F515" s="75">
        <f>SUM(H515:L515)</f>
        <v>1000</v>
      </c>
      <c r="G515" s="92"/>
      <c r="H515" s="90">
        <v>0</v>
      </c>
      <c r="I515" s="93"/>
      <c r="J515" s="90">
        <v>0</v>
      </c>
      <c r="K515" s="93"/>
      <c r="L515" s="90">
        <v>1000</v>
      </c>
      <c r="M515" s="93"/>
      <c r="N515" s="90">
        <v>0</v>
      </c>
      <c r="O515" s="93"/>
      <c r="P515" s="90">
        <v>1000</v>
      </c>
      <c r="Q515" s="93"/>
      <c r="R515" s="90">
        <v>0</v>
      </c>
      <c r="S515" s="86">
        <f t="shared" si="18"/>
        <v>0</v>
      </c>
    </row>
    <row r="516" spans="2:19" x14ac:dyDescent="0.15">
      <c r="C516" s="52" t="s">
        <v>531</v>
      </c>
      <c r="D516" s="52"/>
      <c r="E516" s="91"/>
      <c r="F516" s="75">
        <f>SUM(H516:L516)</f>
        <v>52000</v>
      </c>
      <c r="G516" s="92"/>
      <c r="H516" s="90">
        <v>0</v>
      </c>
      <c r="I516" s="93"/>
      <c r="J516" s="90">
        <v>0</v>
      </c>
      <c r="K516" s="93"/>
      <c r="L516" s="90">
        <v>52000</v>
      </c>
      <c r="M516" s="93"/>
      <c r="N516" s="90">
        <f>39000+1000</f>
        <v>40000</v>
      </c>
      <c r="O516" s="93"/>
      <c r="P516" s="90">
        <v>12000</v>
      </c>
      <c r="Q516" s="93"/>
      <c r="R516" s="90">
        <v>0</v>
      </c>
      <c r="S516" s="86">
        <f t="shared" si="18"/>
        <v>0</v>
      </c>
    </row>
    <row r="517" spans="2:19" x14ac:dyDescent="0.15">
      <c r="C517" s="52" t="s">
        <v>227</v>
      </c>
      <c r="D517" s="52"/>
      <c r="E517" s="91"/>
      <c r="G517" s="69"/>
      <c r="H517" s="90"/>
      <c r="I517" s="90"/>
      <c r="J517" s="90"/>
      <c r="K517" s="90"/>
      <c r="L517" s="90"/>
      <c r="M517" s="90"/>
      <c r="N517" s="90"/>
      <c r="O517" s="90"/>
      <c r="P517" s="90"/>
      <c r="Q517" s="90"/>
      <c r="R517" s="90"/>
      <c r="S517" s="86">
        <f t="shared" si="18"/>
        <v>0</v>
      </c>
    </row>
    <row r="518" spans="2:19" x14ac:dyDescent="0.15">
      <c r="E518" s="52" t="s">
        <v>51</v>
      </c>
      <c r="F518" s="75">
        <f t="shared" ref="F518:F525" si="21">SUM(H518:L518)</f>
        <v>0</v>
      </c>
      <c r="G518" s="92"/>
      <c r="H518" s="90">
        <v>0</v>
      </c>
      <c r="I518" s="93"/>
      <c r="J518" s="90">
        <v>0</v>
      </c>
      <c r="K518" s="93"/>
      <c r="L518" s="90">
        <v>0</v>
      </c>
      <c r="M518" s="93"/>
      <c r="N518" s="90">
        <v>0</v>
      </c>
      <c r="O518" s="93"/>
      <c r="P518" s="90">
        <v>0</v>
      </c>
      <c r="Q518" s="93"/>
      <c r="R518" s="90">
        <v>0</v>
      </c>
      <c r="S518" s="86">
        <f t="shared" si="18"/>
        <v>0</v>
      </c>
    </row>
    <row r="519" spans="2:19" x14ac:dyDescent="0.15">
      <c r="C519" s="53" t="s">
        <v>231</v>
      </c>
      <c r="F519" s="75">
        <f t="shared" si="21"/>
        <v>34000</v>
      </c>
      <c r="G519" s="92"/>
      <c r="H519" s="90">
        <v>0</v>
      </c>
      <c r="I519" s="93"/>
      <c r="J519" s="90">
        <v>18000</v>
      </c>
      <c r="K519" s="93"/>
      <c r="L519" s="90">
        <v>16000</v>
      </c>
      <c r="M519" s="93"/>
      <c r="N519" s="90">
        <v>25000</v>
      </c>
      <c r="O519" s="93"/>
      <c r="P519" s="90">
        <v>9000</v>
      </c>
      <c r="Q519" s="93"/>
      <c r="R519" s="90">
        <v>0</v>
      </c>
      <c r="S519" s="86">
        <f t="shared" si="18"/>
        <v>0</v>
      </c>
    </row>
    <row r="520" spans="2:19" x14ac:dyDescent="0.15">
      <c r="C520" s="53" t="s">
        <v>232</v>
      </c>
      <c r="F520" s="75">
        <f t="shared" si="21"/>
        <v>1000</v>
      </c>
      <c r="G520" s="92"/>
      <c r="H520" s="90">
        <v>0</v>
      </c>
      <c r="I520" s="93"/>
      <c r="J520" s="90">
        <v>1000</v>
      </c>
      <c r="K520" s="93"/>
      <c r="L520" s="90">
        <v>0</v>
      </c>
      <c r="M520" s="93"/>
      <c r="N520" s="90">
        <v>0</v>
      </c>
      <c r="O520" s="93"/>
      <c r="P520" s="90">
        <v>1000</v>
      </c>
      <c r="Q520" s="93"/>
      <c r="R520" s="90">
        <v>0</v>
      </c>
      <c r="S520" s="86">
        <f t="shared" ref="S520:S583" si="22">+F520-N520-P520+R520</f>
        <v>0</v>
      </c>
    </row>
    <row r="521" spans="2:19" x14ac:dyDescent="0.15">
      <c r="C521" s="52" t="s">
        <v>233</v>
      </c>
      <c r="D521" s="52"/>
      <c r="E521" s="91"/>
      <c r="F521" s="75">
        <f t="shared" si="21"/>
        <v>3000</v>
      </c>
      <c r="G521" s="92"/>
      <c r="H521" s="90">
        <v>0</v>
      </c>
      <c r="I521" s="93"/>
      <c r="J521" s="90">
        <v>2000</v>
      </c>
      <c r="K521" s="93"/>
      <c r="L521" s="90">
        <v>1000</v>
      </c>
      <c r="M521" s="93"/>
      <c r="N521" s="90">
        <v>1000</v>
      </c>
      <c r="O521" s="93"/>
      <c r="P521" s="90">
        <v>2000</v>
      </c>
      <c r="Q521" s="93"/>
      <c r="R521" s="90">
        <v>0</v>
      </c>
      <c r="S521" s="86">
        <f t="shared" si="22"/>
        <v>0</v>
      </c>
    </row>
    <row r="522" spans="2:19" x14ac:dyDescent="0.15">
      <c r="C522" s="52" t="s">
        <v>234</v>
      </c>
      <c r="D522" s="52"/>
      <c r="E522" s="91"/>
      <c r="F522" s="75">
        <f t="shared" si="21"/>
        <v>-345000</v>
      </c>
      <c r="G522" s="92"/>
      <c r="H522" s="90">
        <v>-32165000</v>
      </c>
      <c r="I522" s="93"/>
      <c r="J522" s="90">
        <v>23189000</v>
      </c>
      <c r="K522" s="93"/>
      <c r="L522" s="90">
        <v>8631000</v>
      </c>
      <c r="M522" s="93"/>
      <c r="N522" s="90">
        <v>1129000</v>
      </c>
      <c r="O522" s="93"/>
      <c r="P522" s="90">
        <v>-1474000</v>
      </c>
      <c r="Q522" s="93"/>
      <c r="R522" s="90">
        <v>0</v>
      </c>
      <c r="S522" s="86">
        <f t="shared" si="22"/>
        <v>0</v>
      </c>
    </row>
    <row r="523" spans="2:19" x14ac:dyDescent="0.15">
      <c r="C523" s="52" t="s">
        <v>237</v>
      </c>
      <c r="D523" s="52"/>
      <c r="E523" s="91"/>
      <c r="F523" s="75">
        <f t="shared" si="21"/>
        <v>344000</v>
      </c>
      <c r="G523" s="92"/>
      <c r="H523" s="90">
        <v>0</v>
      </c>
      <c r="I523" s="93"/>
      <c r="J523" s="90">
        <v>0</v>
      </c>
      <c r="K523" s="93"/>
      <c r="L523" s="90">
        <v>344000</v>
      </c>
      <c r="M523" s="93"/>
      <c r="N523" s="90">
        <f>201000+1000</f>
        <v>202000</v>
      </c>
      <c r="O523" s="93"/>
      <c r="P523" s="90">
        <v>142000</v>
      </c>
      <c r="Q523" s="93"/>
      <c r="R523" s="90">
        <v>0</v>
      </c>
      <c r="S523" s="86">
        <f t="shared" si="22"/>
        <v>0</v>
      </c>
    </row>
    <row r="524" spans="2:19" x14ac:dyDescent="0.15">
      <c r="C524" s="52" t="s">
        <v>303</v>
      </c>
      <c r="D524" s="52"/>
      <c r="E524" s="91"/>
      <c r="F524" s="75">
        <f t="shared" si="21"/>
        <v>20000</v>
      </c>
      <c r="G524" s="92"/>
      <c r="H524" s="90">
        <v>12000</v>
      </c>
      <c r="I524" s="93"/>
      <c r="J524" s="90">
        <v>0</v>
      </c>
      <c r="K524" s="93"/>
      <c r="L524" s="90">
        <v>8000</v>
      </c>
      <c r="M524" s="93"/>
      <c r="N524" s="90">
        <v>0</v>
      </c>
      <c r="O524" s="93"/>
      <c r="P524" s="90">
        <v>20000</v>
      </c>
      <c r="Q524" s="93"/>
      <c r="R524" s="90">
        <v>0</v>
      </c>
      <c r="S524" s="86">
        <f t="shared" si="22"/>
        <v>0</v>
      </c>
    </row>
    <row r="525" spans="2:19" x14ac:dyDescent="0.15">
      <c r="C525" s="52" t="s">
        <v>529</v>
      </c>
      <c r="D525" s="52"/>
      <c r="E525" s="91"/>
      <c r="F525" s="75">
        <f t="shared" si="21"/>
        <v>116000</v>
      </c>
      <c r="G525" s="92"/>
      <c r="H525" s="90">
        <v>0</v>
      </c>
      <c r="I525" s="93"/>
      <c r="J525" s="90">
        <v>0</v>
      </c>
      <c r="K525" s="93"/>
      <c r="L525" s="90">
        <v>116000</v>
      </c>
      <c r="M525" s="93"/>
      <c r="N525" s="90">
        <v>110000</v>
      </c>
      <c r="O525" s="93"/>
      <c r="P525" s="90">
        <v>6000</v>
      </c>
      <c r="Q525" s="93"/>
      <c r="R525" s="90">
        <v>0</v>
      </c>
      <c r="S525" s="86">
        <f t="shared" si="22"/>
        <v>0</v>
      </c>
    </row>
    <row r="526" spans="2:19" x14ac:dyDescent="0.15">
      <c r="B526" s="86"/>
      <c r="C526" s="52" t="s">
        <v>242</v>
      </c>
      <c r="D526" s="52"/>
      <c r="E526" s="53"/>
      <c r="G526" s="69"/>
      <c r="H526" s="90"/>
      <c r="I526" s="90"/>
      <c r="J526" s="90"/>
      <c r="K526" s="90"/>
      <c r="L526" s="90"/>
      <c r="M526" s="90"/>
      <c r="N526" s="90"/>
      <c r="O526" s="90"/>
      <c r="P526" s="90"/>
      <c r="Q526" s="90"/>
      <c r="R526" s="90"/>
      <c r="S526" s="86">
        <f t="shared" si="22"/>
        <v>0</v>
      </c>
    </row>
    <row r="527" spans="2:19" x14ac:dyDescent="0.15">
      <c r="B527" s="86"/>
      <c r="C527" s="52"/>
      <c r="D527" s="52"/>
      <c r="E527" s="53" t="s">
        <v>243</v>
      </c>
      <c r="F527" s="75">
        <f>SUM(H527:L527)</f>
        <v>204000</v>
      </c>
      <c r="G527" s="92"/>
      <c r="H527" s="90">
        <v>52000</v>
      </c>
      <c r="I527" s="93"/>
      <c r="J527" s="90">
        <f>110000+1000</f>
        <v>111000</v>
      </c>
      <c r="K527" s="93"/>
      <c r="L527" s="90">
        <v>41000</v>
      </c>
      <c r="M527" s="93"/>
      <c r="N527" s="90">
        <v>84000</v>
      </c>
      <c r="O527" s="93"/>
      <c r="P527" s="90">
        <v>120000</v>
      </c>
      <c r="Q527" s="93"/>
      <c r="R527" s="90">
        <v>0</v>
      </c>
      <c r="S527" s="86">
        <f t="shared" si="22"/>
        <v>0</v>
      </c>
    </row>
    <row r="528" spans="2:19" x14ac:dyDescent="0.15">
      <c r="C528" s="52" t="s">
        <v>244</v>
      </c>
      <c r="D528" s="52"/>
      <c r="E528" s="91"/>
      <c r="F528" s="75">
        <f>SUM(H528:L528)</f>
        <v>-751000</v>
      </c>
      <c r="G528" s="92"/>
      <c r="H528" s="90">
        <v>-772000</v>
      </c>
      <c r="I528" s="93"/>
      <c r="J528" s="90">
        <f>250000-1000</f>
        <v>249000</v>
      </c>
      <c r="K528" s="93"/>
      <c r="L528" s="90">
        <f>-229000+1000</f>
        <v>-228000</v>
      </c>
      <c r="M528" s="93"/>
      <c r="N528" s="90">
        <f>-713000-1000</f>
        <v>-714000</v>
      </c>
      <c r="O528" s="93"/>
      <c r="P528" s="90">
        <v>-37000</v>
      </c>
      <c r="Q528" s="93"/>
      <c r="R528" s="90">
        <v>0</v>
      </c>
      <c r="S528" s="86">
        <f t="shared" si="22"/>
        <v>0</v>
      </c>
    </row>
    <row r="529" spans="1:19" ht="15" customHeight="1" x14ac:dyDescent="0.15">
      <c r="C529" s="52" t="s">
        <v>245</v>
      </c>
      <c r="D529" s="52"/>
      <c r="E529" s="91"/>
      <c r="F529" s="94">
        <f>SUM(H529:L529)</f>
        <v>0</v>
      </c>
      <c r="G529" s="69"/>
      <c r="H529" s="95">
        <v>-189133000</v>
      </c>
      <c r="I529" s="90"/>
      <c r="J529" s="95">
        <v>189133000</v>
      </c>
      <c r="K529" s="90"/>
      <c r="L529" s="95">
        <v>0</v>
      </c>
      <c r="M529" s="90"/>
      <c r="N529" s="95">
        <v>0</v>
      </c>
      <c r="O529" s="90"/>
      <c r="P529" s="95">
        <v>0</v>
      </c>
      <c r="Q529" s="90"/>
      <c r="R529" s="95">
        <v>0</v>
      </c>
      <c r="S529" s="86">
        <f t="shared" si="22"/>
        <v>0</v>
      </c>
    </row>
    <row r="530" spans="1:19" ht="15" customHeight="1" x14ac:dyDescent="0.15"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86">
        <f t="shared" si="22"/>
        <v>0</v>
      </c>
    </row>
    <row r="531" spans="1:19" x14ac:dyDescent="0.15">
      <c r="E531" s="52" t="s">
        <v>3</v>
      </c>
      <c r="F531" s="94">
        <f>SUM(H531:L531)</f>
        <v>4210000</v>
      </c>
      <c r="G531" s="69"/>
      <c r="H531" s="94">
        <f>SUM(H502:H530)</f>
        <v>-218638000</v>
      </c>
      <c r="I531" s="75"/>
      <c r="J531" s="94">
        <f>SUM(J502:J530)</f>
        <v>212666000</v>
      </c>
      <c r="K531" s="75"/>
      <c r="L531" s="94">
        <f>SUM(L502:L530)</f>
        <v>10182000</v>
      </c>
      <c r="M531" s="75"/>
      <c r="N531" s="94">
        <f>SUM(N502:N530)</f>
        <v>3682000</v>
      </c>
      <c r="O531" s="75"/>
      <c r="P531" s="94">
        <f>SUM(P502:P530)</f>
        <v>528000</v>
      </c>
      <c r="Q531" s="75"/>
      <c r="R531" s="94">
        <f>SUM(R502:R530)</f>
        <v>0</v>
      </c>
      <c r="S531" s="86">
        <f t="shared" si="22"/>
        <v>0</v>
      </c>
    </row>
    <row r="532" spans="1:19" x14ac:dyDescent="0.15">
      <c r="A532" s="88"/>
      <c r="B532" s="88"/>
      <c r="C532" s="88"/>
      <c r="D532" s="88"/>
      <c r="E532" s="88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86">
        <f t="shared" si="22"/>
        <v>0</v>
      </c>
    </row>
    <row r="533" spans="1:19" x14ac:dyDescent="0.15">
      <c r="B533" s="53" t="s">
        <v>24</v>
      </c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86">
        <f t="shared" si="22"/>
        <v>0</v>
      </c>
    </row>
    <row r="534" spans="1:19" x14ac:dyDescent="0.15">
      <c r="C534" s="52" t="s">
        <v>246</v>
      </c>
      <c r="D534" s="52"/>
      <c r="E534" s="91"/>
      <c r="F534" s="75">
        <f>SUM(H534:L534)</f>
        <v>296000</v>
      </c>
      <c r="G534" s="92"/>
      <c r="H534" s="90">
        <v>2000</v>
      </c>
      <c r="I534" s="93"/>
      <c r="J534" s="90">
        <f>195000+1000</f>
        <v>196000</v>
      </c>
      <c r="K534" s="93"/>
      <c r="L534" s="90">
        <v>98000</v>
      </c>
      <c r="M534" s="93"/>
      <c r="N534" s="90">
        <v>42000</v>
      </c>
      <c r="O534" s="93"/>
      <c r="P534" s="90">
        <v>254000</v>
      </c>
      <c r="Q534" s="93"/>
      <c r="R534" s="90">
        <v>0</v>
      </c>
      <c r="S534" s="86">
        <f t="shared" si="22"/>
        <v>0</v>
      </c>
    </row>
    <row r="535" spans="1:19" x14ac:dyDescent="0.15">
      <c r="C535" s="52" t="s">
        <v>210</v>
      </c>
      <c r="D535" s="52"/>
      <c r="E535" s="91"/>
      <c r="F535" s="75">
        <f>SUM(H535:L535)</f>
        <v>350000</v>
      </c>
      <c r="G535" s="92"/>
      <c r="H535" s="90">
        <v>174000</v>
      </c>
      <c r="I535" s="93"/>
      <c r="J535" s="90">
        <v>9000</v>
      </c>
      <c r="K535" s="93"/>
      <c r="L535" s="90">
        <v>167000</v>
      </c>
      <c r="M535" s="93"/>
      <c r="N535" s="90">
        <v>192000</v>
      </c>
      <c r="O535" s="93"/>
      <c r="P535" s="90">
        <v>158000</v>
      </c>
      <c r="Q535" s="93"/>
      <c r="R535" s="90">
        <v>0</v>
      </c>
      <c r="S535" s="86">
        <f t="shared" si="22"/>
        <v>0</v>
      </c>
    </row>
    <row r="536" spans="1:19" x14ac:dyDescent="0.15">
      <c r="C536" s="52" t="s">
        <v>247</v>
      </c>
      <c r="D536" s="52"/>
      <c r="E536" s="91"/>
      <c r="F536" s="75">
        <f>SUM(H536:L536)</f>
        <v>140000</v>
      </c>
      <c r="G536" s="92"/>
      <c r="H536" s="90">
        <v>68000</v>
      </c>
      <c r="I536" s="93"/>
      <c r="J536" s="90">
        <v>22000</v>
      </c>
      <c r="K536" s="93"/>
      <c r="L536" s="90">
        <v>50000</v>
      </c>
      <c r="M536" s="93"/>
      <c r="N536" s="90">
        <f>67000+1000</f>
        <v>68000</v>
      </c>
      <c r="O536" s="93"/>
      <c r="P536" s="90">
        <v>72000</v>
      </c>
      <c r="Q536" s="93"/>
      <c r="R536" s="90">
        <v>0</v>
      </c>
      <c r="S536" s="86">
        <f t="shared" si="22"/>
        <v>0</v>
      </c>
    </row>
    <row r="537" spans="1:19" x14ac:dyDescent="0.15">
      <c r="C537" s="52" t="s">
        <v>248</v>
      </c>
      <c r="D537" s="52"/>
      <c r="E537" s="91"/>
      <c r="G537" s="69"/>
      <c r="H537" s="90"/>
      <c r="I537" s="90"/>
      <c r="J537" s="90"/>
      <c r="K537" s="90"/>
      <c r="L537" s="90"/>
      <c r="M537" s="90"/>
      <c r="N537" s="90"/>
      <c r="O537" s="90"/>
      <c r="P537" s="90"/>
      <c r="Q537" s="90"/>
      <c r="R537" s="90"/>
      <c r="S537" s="86">
        <f t="shared" si="22"/>
        <v>0</v>
      </c>
    </row>
    <row r="538" spans="1:19" x14ac:dyDescent="0.15">
      <c r="C538" s="86"/>
      <c r="D538" s="52"/>
      <c r="E538" s="52" t="s">
        <v>249</v>
      </c>
      <c r="F538" s="75">
        <f>SUM(H538:L538)</f>
        <v>47000</v>
      </c>
      <c r="G538" s="92"/>
      <c r="H538" s="90">
        <v>46000</v>
      </c>
      <c r="I538" s="93"/>
      <c r="J538" s="90">
        <v>0</v>
      </c>
      <c r="K538" s="93"/>
      <c r="L538" s="90">
        <v>1000</v>
      </c>
      <c r="M538" s="93"/>
      <c r="N538" s="90">
        <v>31000</v>
      </c>
      <c r="O538" s="93"/>
      <c r="P538" s="90">
        <v>16000</v>
      </c>
      <c r="Q538" s="93"/>
      <c r="R538" s="90">
        <v>0</v>
      </c>
      <c r="S538" s="86">
        <f t="shared" si="22"/>
        <v>0</v>
      </c>
    </row>
    <row r="539" spans="1:19" x14ac:dyDescent="0.15">
      <c r="C539" s="52" t="s">
        <v>211</v>
      </c>
      <c r="D539" s="52"/>
      <c r="E539" s="91"/>
      <c r="F539" s="75">
        <f>SUM(H539:L539)</f>
        <v>3951000</v>
      </c>
      <c r="G539" s="92"/>
      <c r="H539" s="90">
        <v>537000</v>
      </c>
      <c r="I539" s="93"/>
      <c r="J539" s="90">
        <v>162000</v>
      </c>
      <c r="K539" s="93"/>
      <c r="L539" s="90">
        <v>3252000</v>
      </c>
      <c r="M539" s="93"/>
      <c r="N539" s="90">
        <v>2146000</v>
      </c>
      <c r="O539" s="93"/>
      <c r="P539" s="90">
        <v>1913000</v>
      </c>
      <c r="Q539" s="93"/>
      <c r="R539" s="90">
        <v>108000</v>
      </c>
      <c r="S539" s="86">
        <f t="shared" si="22"/>
        <v>0</v>
      </c>
    </row>
    <row r="540" spans="1:19" x14ac:dyDescent="0.15">
      <c r="C540" s="52" t="s">
        <v>250</v>
      </c>
      <c r="D540" s="52"/>
      <c r="E540" s="91"/>
      <c r="F540" s="75">
        <f>SUM(H540:L540)</f>
        <v>463000</v>
      </c>
      <c r="G540" s="92"/>
      <c r="H540" s="90">
        <v>162000</v>
      </c>
      <c r="I540" s="93"/>
      <c r="J540" s="90">
        <v>264000</v>
      </c>
      <c r="K540" s="93"/>
      <c r="L540" s="90">
        <v>37000</v>
      </c>
      <c r="M540" s="93"/>
      <c r="N540" s="90">
        <v>275000</v>
      </c>
      <c r="O540" s="93"/>
      <c r="P540" s="90">
        <v>188000</v>
      </c>
      <c r="Q540" s="93"/>
      <c r="R540" s="90">
        <v>0</v>
      </c>
      <c r="S540" s="86">
        <f t="shared" si="22"/>
        <v>0</v>
      </c>
    </row>
    <row r="541" spans="1:19" x14ac:dyDescent="0.15">
      <c r="C541" s="52" t="s">
        <v>251</v>
      </c>
      <c r="D541" s="52"/>
      <c r="E541" s="91"/>
      <c r="F541" s="75">
        <f>SUM(H541:L541)</f>
        <v>184000</v>
      </c>
      <c r="G541" s="92"/>
      <c r="H541" s="90">
        <v>149000</v>
      </c>
      <c r="I541" s="93"/>
      <c r="J541" s="90">
        <v>-1000</v>
      </c>
      <c r="K541" s="93"/>
      <c r="L541" s="90">
        <v>36000</v>
      </c>
      <c r="M541" s="93"/>
      <c r="N541" s="90">
        <v>137000</v>
      </c>
      <c r="O541" s="93"/>
      <c r="P541" s="90">
        <v>48000</v>
      </c>
      <c r="Q541" s="93"/>
      <c r="R541" s="90">
        <v>1000</v>
      </c>
      <c r="S541" s="86">
        <f t="shared" si="22"/>
        <v>0</v>
      </c>
    </row>
    <row r="542" spans="1:19" x14ac:dyDescent="0.15">
      <c r="C542" s="52" t="s">
        <v>252</v>
      </c>
      <c r="D542" s="52"/>
      <c r="E542" s="91"/>
      <c r="F542" s="75">
        <f>SUM(H542:L542)</f>
        <v>797000</v>
      </c>
      <c r="G542" s="92"/>
      <c r="H542" s="90">
        <v>0</v>
      </c>
      <c r="I542" s="93"/>
      <c r="J542" s="90">
        <v>306000</v>
      </c>
      <c r="K542" s="93"/>
      <c r="L542" s="90">
        <v>491000</v>
      </c>
      <c r="M542" s="93"/>
      <c r="N542" s="90">
        <v>324000</v>
      </c>
      <c r="O542" s="93"/>
      <c r="P542" s="90">
        <f>488000-1000</f>
        <v>487000</v>
      </c>
      <c r="Q542" s="93"/>
      <c r="R542" s="90">
        <v>14000</v>
      </c>
      <c r="S542" s="86">
        <f t="shared" si="22"/>
        <v>0</v>
      </c>
    </row>
    <row r="543" spans="1:19" x14ac:dyDescent="0.15">
      <c r="C543" s="52" t="s">
        <v>253</v>
      </c>
      <c r="D543" s="52"/>
      <c r="E543" s="91"/>
      <c r="F543" s="86"/>
      <c r="S543" s="86">
        <f t="shared" si="22"/>
        <v>0</v>
      </c>
    </row>
    <row r="544" spans="1:19" x14ac:dyDescent="0.15">
      <c r="C544" s="52"/>
      <c r="D544" s="52"/>
      <c r="E544" s="91" t="s">
        <v>254</v>
      </c>
      <c r="F544" s="75">
        <f>SUM(H544:L544)</f>
        <v>5202000</v>
      </c>
      <c r="G544" s="92"/>
      <c r="H544" s="90">
        <v>43000</v>
      </c>
      <c r="I544" s="93"/>
      <c r="J544" s="90">
        <v>857000</v>
      </c>
      <c r="K544" s="93"/>
      <c r="L544" s="90">
        <v>4302000</v>
      </c>
      <c r="M544" s="93"/>
      <c r="N544" s="90">
        <v>1365000</v>
      </c>
      <c r="O544" s="93"/>
      <c r="P544" s="90">
        <v>3837000</v>
      </c>
      <c r="Q544" s="93"/>
      <c r="R544" s="90">
        <v>0</v>
      </c>
      <c r="S544" s="86">
        <f t="shared" si="22"/>
        <v>0</v>
      </c>
    </row>
    <row r="545" spans="3:19" x14ac:dyDescent="0.15">
      <c r="C545" s="52" t="s">
        <v>213</v>
      </c>
      <c r="D545" s="52"/>
      <c r="E545" s="91"/>
      <c r="F545" s="86"/>
      <c r="S545" s="86">
        <f t="shared" si="22"/>
        <v>0</v>
      </c>
    </row>
    <row r="546" spans="3:19" x14ac:dyDescent="0.15">
      <c r="C546" s="52"/>
      <c r="D546" s="52"/>
      <c r="E546" s="91" t="s">
        <v>214</v>
      </c>
      <c r="F546" s="75">
        <f>SUM(H546:L546)</f>
        <v>33147000</v>
      </c>
      <c r="G546" s="92"/>
      <c r="H546" s="90">
        <v>1485000</v>
      </c>
      <c r="I546" s="93"/>
      <c r="J546" s="90">
        <v>2069000</v>
      </c>
      <c r="K546" s="93"/>
      <c r="L546" s="90">
        <v>29593000</v>
      </c>
      <c r="M546" s="93"/>
      <c r="N546" s="90">
        <v>14165000</v>
      </c>
      <c r="O546" s="93"/>
      <c r="P546" s="90">
        <v>19009000</v>
      </c>
      <c r="Q546" s="93"/>
      <c r="R546" s="90">
        <v>27000</v>
      </c>
      <c r="S546" s="86">
        <f t="shared" si="22"/>
        <v>0</v>
      </c>
    </row>
    <row r="547" spans="3:19" x14ac:dyDescent="0.15">
      <c r="C547" s="52" t="s">
        <v>215</v>
      </c>
      <c r="D547" s="52"/>
      <c r="E547" s="91"/>
      <c r="F547" s="75">
        <f>SUM(H547:L547)</f>
        <v>1594000</v>
      </c>
      <c r="G547" s="92"/>
      <c r="H547" s="90">
        <v>835000</v>
      </c>
      <c r="I547" s="93"/>
      <c r="J547" s="90">
        <v>74000</v>
      </c>
      <c r="K547" s="93"/>
      <c r="L547" s="90">
        <v>685000</v>
      </c>
      <c r="M547" s="93"/>
      <c r="N547" s="90">
        <v>888000</v>
      </c>
      <c r="O547" s="93"/>
      <c r="P547" s="90">
        <v>1448000</v>
      </c>
      <c r="Q547" s="93"/>
      <c r="R547" s="90">
        <v>742000</v>
      </c>
      <c r="S547" s="86">
        <f t="shared" si="22"/>
        <v>0</v>
      </c>
    </row>
    <row r="548" spans="3:19" x14ac:dyDescent="0.15">
      <c r="C548" s="52" t="s">
        <v>255</v>
      </c>
      <c r="D548" s="52"/>
      <c r="E548" s="91"/>
      <c r="F548" s="75">
        <f>SUM(H548:L548)</f>
        <v>1005000</v>
      </c>
      <c r="G548" s="92"/>
      <c r="H548" s="90">
        <v>0</v>
      </c>
      <c r="I548" s="93"/>
      <c r="J548" s="90">
        <v>25000</v>
      </c>
      <c r="K548" s="93"/>
      <c r="L548" s="90">
        <v>980000</v>
      </c>
      <c r="M548" s="93"/>
      <c r="N548" s="90">
        <v>431000</v>
      </c>
      <c r="O548" s="93"/>
      <c r="P548" s="90">
        <v>574000</v>
      </c>
      <c r="Q548" s="93"/>
      <c r="R548" s="90">
        <v>0</v>
      </c>
      <c r="S548" s="86">
        <f t="shared" si="22"/>
        <v>0</v>
      </c>
    </row>
    <row r="549" spans="3:19" x14ac:dyDescent="0.15">
      <c r="C549" s="52" t="s">
        <v>256</v>
      </c>
      <c r="D549" s="52"/>
      <c r="E549" s="91"/>
      <c r="G549" s="69"/>
      <c r="H549" s="90"/>
      <c r="I549" s="90"/>
      <c r="J549" s="90"/>
      <c r="K549" s="90"/>
      <c r="L549" s="90"/>
      <c r="M549" s="90"/>
      <c r="N549" s="90"/>
      <c r="O549" s="90"/>
      <c r="P549" s="90"/>
      <c r="Q549" s="90"/>
      <c r="R549" s="90"/>
      <c r="S549" s="86">
        <f t="shared" si="22"/>
        <v>0</v>
      </c>
    </row>
    <row r="550" spans="3:19" x14ac:dyDescent="0.15">
      <c r="C550" s="86"/>
      <c r="D550" s="52"/>
      <c r="E550" s="91" t="s">
        <v>51</v>
      </c>
      <c r="F550" s="75">
        <f>SUM(H550:L550)</f>
        <v>2780000</v>
      </c>
      <c r="G550" s="92"/>
      <c r="H550" s="90">
        <v>111000</v>
      </c>
      <c r="I550" s="93"/>
      <c r="J550" s="90">
        <f>377000+1000</f>
        <v>378000</v>
      </c>
      <c r="K550" s="93"/>
      <c r="L550" s="90">
        <v>2291000</v>
      </c>
      <c r="M550" s="93"/>
      <c r="N550" s="90">
        <v>1618000</v>
      </c>
      <c r="O550" s="93"/>
      <c r="P550" s="90">
        <v>1162000</v>
      </c>
      <c r="Q550" s="93"/>
      <c r="R550" s="90">
        <v>0</v>
      </c>
      <c r="S550" s="86">
        <f t="shared" si="22"/>
        <v>0</v>
      </c>
    </row>
    <row r="551" spans="3:19" x14ac:dyDescent="0.15">
      <c r="C551" s="52" t="s">
        <v>257</v>
      </c>
      <c r="D551" s="52"/>
      <c r="E551" s="91"/>
      <c r="G551" s="69"/>
      <c r="H551" s="90"/>
      <c r="I551" s="90"/>
      <c r="J551" s="90"/>
      <c r="K551" s="90"/>
      <c r="L551" s="90"/>
      <c r="M551" s="90"/>
      <c r="N551" s="90"/>
      <c r="O551" s="90"/>
      <c r="P551" s="90"/>
      <c r="Q551" s="90"/>
      <c r="R551" s="90"/>
      <c r="S551" s="86">
        <f t="shared" si="22"/>
        <v>0</v>
      </c>
    </row>
    <row r="552" spans="3:19" x14ac:dyDescent="0.15">
      <c r="C552" s="86"/>
      <c r="D552" s="52"/>
      <c r="E552" s="91" t="s">
        <v>258</v>
      </c>
      <c r="F552" s="75">
        <f>SUM(H552:L552)</f>
        <v>2580000</v>
      </c>
      <c r="G552" s="92"/>
      <c r="H552" s="90">
        <v>888000</v>
      </c>
      <c r="I552" s="93"/>
      <c r="J552" s="90">
        <v>1534000</v>
      </c>
      <c r="K552" s="93"/>
      <c r="L552" s="90">
        <v>158000</v>
      </c>
      <c r="M552" s="93"/>
      <c r="N552" s="90">
        <f>1716000-1000</f>
        <v>1715000</v>
      </c>
      <c r="O552" s="93"/>
      <c r="P552" s="90">
        <v>865000</v>
      </c>
      <c r="Q552" s="93"/>
      <c r="R552" s="90">
        <v>0</v>
      </c>
      <c r="S552" s="86">
        <f t="shared" si="22"/>
        <v>0</v>
      </c>
    </row>
    <row r="553" spans="3:19" x14ac:dyDescent="0.15">
      <c r="C553" s="52" t="s">
        <v>259</v>
      </c>
      <c r="D553" s="52"/>
      <c r="E553" s="91"/>
      <c r="G553" s="69"/>
      <c r="H553" s="90"/>
      <c r="I553" s="90"/>
      <c r="J553" s="90"/>
      <c r="K553" s="90"/>
      <c r="L553" s="90"/>
      <c r="M553" s="90"/>
      <c r="N553" s="90"/>
      <c r="O553" s="90"/>
      <c r="P553" s="90"/>
      <c r="Q553" s="90"/>
      <c r="R553" s="90"/>
      <c r="S553" s="86">
        <f t="shared" si="22"/>
        <v>0</v>
      </c>
    </row>
    <row r="554" spans="3:19" x14ac:dyDescent="0.15">
      <c r="C554" s="86"/>
      <c r="D554" s="52"/>
      <c r="E554" s="91" t="s">
        <v>260</v>
      </c>
      <c r="F554" s="75">
        <f>SUM(H554:L554)</f>
        <v>59000</v>
      </c>
      <c r="G554" s="92"/>
      <c r="H554" s="90">
        <v>24000</v>
      </c>
      <c r="I554" s="93"/>
      <c r="J554" s="90">
        <v>0</v>
      </c>
      <c r="K554" s="93"/>
      <c r="L554" s="90">
        <v>35000</v>
      </c>
      <c r="M554" s="93"/>
      <c r="N554" s="90">
        <v>24000</v>
      </c>
      <c r="O554" s="93"/>
      <c r="P554" s="90">
        <v>35000</v>
      </c>
      <c r="Q554" s="93"/>
      <c r="R554" s="90">
        <v>0</v>
      </c>
      <c r="S554" s="86">
        <f t="shared" si="22"/>
        <v>0</v>
      </c>
    </row>
    <row r="555" spans="3:19" x14ac:dyDescent="0.15">
      <c r="C555" s="52" t="s">
        <v>261</v>
      </c>
      <c r="D555" s="52"/>
      <c r="E555" s="91"/>
      <c r="G555" s="69"/>
      <c r="H555" s="90"/>
      <c r="I555" s="90"/>
      <c r="J555" s="90"/>
      <c r="K555" s="90"/>
      <c r="L555" s="90"/>
      <c r="M555" s="90"/>
      <c r="N555" s="90"/>
      <c r="O555" s="90"/>
      <c r="P555" s="90"/>
      <c r="Q555" s="90"/>
      <c r="R555" s="90"/>
      <c r="S555" s="86">
        <f t="shared" si="22"/>
        <v>0</v>
      </c>
    </row>
    <row r="556" spans="3:19" ht="14.25" customHeight="1" x14ac:dyDescent="0.15">
      <c r="E556" s="52" t="s">
        <v>262</v>
      </c>
      <c r="F556" s="75">
        <f>SUM(H556:L556)</f>
        <v>3320000</v>
      </c>
      <c r="G556" s="92"/>
      <c r="H556" s="90">
        <v>0</v>
      </c>
      <c r="I556" s="93"/>
      <c r="J556" s="90">
        <v>12000</v>
      </c>
      <c r="K556" s="93"/>
      <c r="L556" s="90">
        <v>3308000</v>
      </c>
      <c r="M556" s="93"/>
      <c r="N556" s="90">
        <v>2063000</v>
      </c>
      <c r="O556" s="93"/>
      <c r="P556" s="90">
        <v>1257000</v>
      </c>
      <c r="Q556" s="93"/>
      <c r="R556" s="90">
        <v>0</v>
      </c>
      <c r="S556" s="86">
        <f t="shared" si="22"/>
        <v>0</v>
      </c>
    </row>
    <row r="557" spans="3:19" x14ac:dyDescent="0.15">
      <c r="C557" s="52" t="s">
        <v>263</v>
      </c>
      <c r="D557" s="52"/>
      <c r="E557" s="91"/>
      <c r="G557" s="69"/>
      <c r="H557" s="90"/>
      <c r="I557" s="90"/>
      <c r="J557" s="90"/>
      <c r="K557" s="90"/>
      <c r="L557" s="90"/>
      <c r="M557" s="90"/>
      <c r="N557" s="90"/>
      <c r="O557" s="90"/>
      <c r="P557" s="90"/>
      <c r="Q557" s="90"/>
      <c r="R557" s="90"/>
      <c r="S557" s="86">
        <f t="shared" si="22"/>
        <v>0</v>
      </c>
    </row>
    <row r="558" spans="3:19" x14ac:dyDescent="0.15">
      <c r="C558" s="52"/>
      <c r="D558" s="52"/>
      <c r="E558" s="91" t="s">
        <v>264</v>
      </c>
      <c r="F558" s="75">
        <f>SUM(H558:L558)</f>
        <v>1388000</v>
      </c>
      <c r="G558" s="92"/>
      <c r="H558" s="90">
        <v>620000</v>
      </c>
      <c r="I558" s="93"/>
      <c r="J558" s="90">
        <f>723000-1000</f>
        <v>722000</v>
      </c>
      <c r="K558" s="93"/>
      <c r="L558" s="90">
        <v>46000</v>
      </c>
      <c r="M558" s="93"/>
      <c r="N558" s="90">
        <v>818000</v>
      </c>
      <c r="O558" s="93"/>
      <c r="P558" s="90">
        <v>648000</v>
      </c>
      <c r="Q558" s="93"/>
      <c r="R558" s="90">
        <f>79000-1000</f>
        <v>78000</v>
      </c>
      <c r="S558" s="86">
        <f t="shared" si="22"/>
        <v>0</v>
      </c>
    </row>
    <row r="559" spans="3:19" ht="14.25" customHeight="1" x14ac:dyDescent="0.15">
      <c r="C559" s="52" t="s">
        <v>265</v>
      </c>
      <c r="G559" s="69"/>
      <c r="H559" s="90"/>
      <c r="I559" s="90"/>
      <c r="J559" s="90"/>
      <c r="K559" s="90"/>
      <c r="L559" s="90"/>
      <c r="M559" s="90"/>
      <c r="N559" s="90"/>
      <c r="O559" s="90"/>
      <c r="P559" s="90"/>
      <c r="Q559" s="90"/>
      <c r="R559" s="90"/>
      <c r="S559" s="86">
        <f t="shared" si="22"/>
        <v>0</v>
      </c>
    </row>
    <row r="560" spans="3:19" x14ac:dyDescent="0.15">
      <c r="C560" s="86"/>
      <c r="E560" s="52" t="s">
        <v>266</v>
      </c>
      <c r="F560" s="75">
        <f>SUM(H560:L560)</f>
        <v>407000</v>
      </c>
      <c r="G560" s="92"/>
      <c r="H560" s="90">
        <v>0</v>
      </c>
      <c r="I560" s="93"/>
      <c r="J560" s="90">
        <v>370000</v>
      </c>
      <c r="K560" s="93"/>
      <c r="L560" s="90">
        <v>37000</v>
      </c>
      <c r="M560" s="93"/>
      <c r="N560" s="90">
        <f>232000-1000</f>
        <v>231000</v>
      </c>
      <c r="O560" s="93"/>
      <c r="P560" s="90">
        <v>176000</v>
      </c>
      <c r="Q560" s="93"/>
      <c r="R560" s="90">
        <v>0</v>
      </c>
      <c r="S560" s="86">
        <f t="shared" si="22"/>
        <v>0</v>
      </c>
    </row>
    <row r="561" spans="3:19" x14ac:dyDescent="0.15">
      <c r="C561" s="52" t="s">
        <v>267</v>
      </c>
      <c r="D561" s="52"/>
      <c r="E561" s="91"/>
      <c r="F561" s="75">
        <f>SUM(H561:L561)</f>
        <v>43000</v>
      </c>
      <c r="G561" s="92"/>
      <c r="H561" s="90">
        <v>33000</v>
      </c>
      <c r="I561" s="93"/>
      <c r="J561" s="90">
        <v>10000</v>
      </c>
      <c r="K561" s="93"/>
      <c r="L561" s="90">
        <v>0</v>
      </c>
      <c r="M561" s="93"/>
      <c r="N561" s="90">
        <v>16000</v>
      </c>
      <c r="O561" s="93"/>
      <c r="P561" s="90">
        <f>26000+1000</f>
        <v>27000</v>
      </c>
      <c r="Q561" s="93"/>
      <c r="R561" s="90">
        <v>0</v>
      </c>
      <c r="S561" s="86">
        <f t="shared" si="22"/>
        <v>0</v>
      </c>
    </row>
    <row r="562" spans="3:19" x14ac:dyDescent="0.15">
      <c r="C562" s="52" t="s">
        <v>268</v>
      </c>
      <c r="D562" s="52"/>
      <c r="E562" s="91"/>
      <c r="F562" s="75">
        <f>SUM(H562:L562)</f>
        <v>80000</v>
      </c>
      <c r="G562" s="92"/>
      <c r="H562" s="90">
        <v>82000</v>
      </c>
      <c r="I562" s="93"/>
      <c r="J562" s="90">
        <v>0</v>
      </c>
      <c r="K562" s="93"/>
      <c r="L562" s="90">
        <v>-2000</v>
      </c>
      <c r="M562" s="93"/>
      <c r="N562" s="90">
        <v>69000</v>
      </c>
      <c r="O562" s="93"/>
      <c r="P562" s="90">
        <v>11000</v>
      </c>
      <c r="Q562" s="93"/>
      <c r="R562" s="90">
        <v>0</v>
      </c>
      <c r="S562" s="86">
        <f t="shared" si="22"/>
        <v>0</v>
      </c>
    </row>
    <row r="563" spans="3:19" x14ac:dyDescent="0.15">
      <c r="C563" s="52" t="s">
        <v>269</v>
      </c>
      <c r="D563" s="52"/>
      <c r="E563" s="91"/>
      <c r="F563" s="75">
        <f>SUM(H563:L563)</f>
        <v>2760000</v>
      </c>
      <c r="G563" s="92"/>
      <c r="H563" s="90">
        <v>53000</v>
      </c>
      <c r="I563" s="93"/>
      <c r="J563" s="90">
        <v>1074000</v>
      </c>
      <c r="K563" s="93"/>
      <c r="L563" s="90">
        <v>1633000</v>
      </c>
      <c r="M563" s="93"/>
      <c r="N563" s="90">
        <v>986000</v>
      </c>
      <c r="O563" s="93"/>
      <c r="P563" s="90">
        <v>1754000</v>
      </c>
      <c r="Q563" s="93"/>
      <c r="R563" s="90">
        <f>-19000-1000</f>
        <v>-20000</v>
      </c>
      <c r="S563" s="86">
        <f t="shared" si="22"/>
        <v>0</v>
      </c>
    </row>
    <row r="564" spans="3:19" x14ac:dyDescent="0.15">
      <c r="C564" s="52" t="s">
        <v>271</v>
      </c>
      <c r="D564" s="52"/>
      <c r="E564" s="91"/>
      <c r="S564" s="86">
        <f t="shared" si="22"/>
        <v>0</v>
      </c>
    </row>
    <row r="565" spans="3:19" x14ac:dyDescent="0.15">
      <c r="C565" s="52" t="s">
        <v>272</v>
      </c>
      <c r="D565" s="52"/>
      <c r="E565" s="91" t="s">
        <v>273</v>
      </c>
      <c r="F565" s="75">
        <f t="shared" ref="F565:F579" si="23">SUM(H565:L565)</f>
        <v>33000</v>
      </c>
      <c r="G565" s="92"/>
      <c r="H565" s="90">
        <v>0</v>
      </c>
      <c r="I565" s="93"/>
      <c r="J565" s="90">
        <v>0</v>
      </c>
      <c r="K565" s="93"/>
      <c r="L565" s="90">
        <v>33000</v>
      </c>
      <c r="M565" s="93"/>
      <c r="N565" s="90">
        <v>23000</v>
      </c>
      <c r="O565" s="93"/>
      <c r="P565" s="90">
        <v>10000</v>
      </c>
      <c r="Q565" s="93"/>
      <c r="R565" s="90">
        <v>0</v>
      </c>
      <c r="S565" s="86">
        <f t="shared" si="22"/>
        <v>0</v>
      </c>
    </row>
    <row r="566" spans="3:19" x14ac:dyDescent="0.15">
      <c r="C566" s="52" t="s">
        <v>274</v>
      </c>
      <c r="D566" s="52"/>
      <c r="E566" s="91"/>
      <c r="F566" s="75">
        <f t="shared" si="23"/>
        <v>316000</v>
      </c>
      <c r="G566" s="92"/>
      <c r="H566" s="90">
        <v>0</v>
      </c>
      <c r="I566" s="93"/>
      <c r="J566" s="90">
        <v>4000</v>
      </c>
      <c r="K566" s="93"/>
      <c r="L566" s="90">
        <v>312000</v>
      </c>
      <c r="M566" s="93"/>
      <c r="N566" s="90">
        <v>28000</v>
      </c>
      <c r="O566" s="93"/>
      <c r="P566" s="90">
        <f>289000-1000</f>
        <v>288000</v>
      </c>
      <c r="Q566" s="93"/>
      <c r="R566" s="90">
        <v>0</v>
      </c>
      <c r="S566" s="86">
        <f t="shared" si="22"/>
        <v>0</v>
      </c>
    </row>
    <row r="567" spans="3:19" x14ac:dyDescent="0.15">
      <c r="C567" s="52" t="s">
        <v>275</v>
      </c>
      <c r="D567" s="52"/>
      <c r="E567" s="91"/>
      <c r="F567" s="75">
        <f t="shared" si="23"/>
        <v>2005000</v>
      </c>
      <c r="G567" s="92"/>
      <c r="H567" s="90">
        <f>412000+1000</f>
        <v>413000</v>
      </c>
      <c r="I567" s="93"/>
      <c r="J567" s="90">
        <v>841000</v>
      </c>
      <c r="K567" s="93"/>
      <c r="L567" s="90">
        <v>751000</v>
      </c>
      <c r="M567" s="93"/>
      <c r="N567" s="90">
        <v>680000</v>
      </c>
      <c r="O567" s="93"/>
      <c r="P567" s="90">
        <v>1557000</v>
      </c>
      <c r="Q567" s="93"/>
      <c r="R567" s="90">
        <v>232000</v>
      </c>
      <c r="S567" s="86">
        <f t="shared" si="22"/>
        <v>0</v>
      </c>
    </row>
    <row r="568" spans="3:19" x14ac:dyDescent="0.15">
      <c r="C568" s="52" t="s">
        <v>276</v>
      </c>
      <c r="D568" s="52"/>
      <c r="E568" s="91"/>
      <c r="F568" s="75">
        <f t="shared" si="23"/>
        <v>136000</v>
      </c>
      <c r="G568" s="92"/>
      <c r="H568" s="90">
        <v>0</v>
      </c>
      <c r="I568" s="93"/>
      <c r="J568" s="90">
        <v>42000</v>
      </c>
      <c r="K568" s="93"/>
      <c r="L568" s="90">
        <v>94000</v>
      </c>
      <c r="M568" s="93"/>
      <c r="N568" s="90">
        <v>29000</v>
      </c>
      <c r="O568" s="93"/>
      <c r="P568" s="90">
        <v>107000</v>
      </c>
      <c r="Q568" s="93"/>
      <c r="R568" s="90">
        <v>0</v>
      </c>
      <c r="S568" s="86">
        <f t="shared" si="22"/>
        <v>0</v>
      </c>
    </row>
    <row r="569" spans="3:19" x14ac:dyDescent="0.15">
      <c r="C569" s="52" t="s">
        <v>277</v>
      </c>
      <c r="D569" s="52"/>
      <c r="E569" s="91"/>
      <c r="F569" s="75">
        <f t="shared" si="23"/>
        <v>192000</v>
      </c>
      <c r="G569" s="92"/>
      <c r="H569" s="90">
        <v>0</v>
      </c>
      <c r="I569" s="93"/>
      <c r="J569" s="90">
        <v>0</v>
      </c>
      <c r="K569" s="93"/>
      <c r="L569" s="90">
        <v>192000</v>
      </c>
      <c r="M569" s="93"/>
      <c r="N569" s="90">
        <v>116000</v>
      </c>
      <c r="O569" s="93"/>
      <c r="P569" s="90">
        <v>76000</v>
      </c>
      <c r="Q569" s="93"/>
      <c r="R569" s="90">
        <v>0</v>
      </c>
      <c r="S569" s="86">
        <f t="shared" si="22"/>
        <v>0</v>
      </c>
    </row>
    <row r="570" spans="3:19" x14ac:dyDescent="0.15">
      <c r="C570" s="52" t="s">
        <v>278</v>
      </c>
      <c r="D570" s="52"/>
      <c r="E570" s="91"/>
      <c r="F570" s="75">
        <f t="shared" si="23"/>
        <v>1055000</v>
      </c>
      <c r="G570" s="92"/>
      <c r="H570" s="90">
        <v>0</v>
      </c>
      <c r="I570" s="93"/>
      <c r="J570" s="90">
        <v>810000</v>
      </c>
      <c r="K570" s="93"/>
      <c r="L570" s="90">
        <f>244000+1000</f>
        <v>245000</v>
      </c>
      <c r="M570" s="93"/>
      <c r="N570" s="90">
        <v>693000</v>
      </c>
      <c r="O570" s="93"/>
      <c r="P570" s="90">
        <v>362000</v>
      </c>
      <c r="Q570" s="93"/>
      <c r="R570" s="90">
        <v>0</v>
      </c>
      <c r="S570" s="86">
        <f t="shared" si="22"/>
        <v>0</v>
      </c>
    </row>
    <row r="571" spans="3:19" x14ac:dyDescent="0.15">
      <c r="C571" s="52" t="s">
        <v>218</v>
      </c>
      <c r="D571" s="52"/>
      <c r="E571" s="91"/>
      <c r="F571" s="75">
        <f t="shared" si="23"/>
        <v>1089000</v>
      </c>
      <c r="G571" s="92"/>
      <c r="H571" s="90">
        <v>104000</v>
      </c>
      <c r="I571" s="93"/>
      <c r="J571" s="90">
        <v>41000</v>
      </c>
      <c r="K571" s="93"/>
      <c r="L571" s="90">
        <v>944000</v>
      </c>
      <c r="M571" s="93"/>
      <c r="N571" s="90">
        <v>599000</v>
      </c>
      <c r="O571" s="93"/>
      <c r="P571" s="90">
        <f>489000+1000</f>
        <v>490000</v>
      </c>
      <c r="Q571" s="93"/>
      <c r="R571" s="90">
        <v>0</v>
      </c>
      <c r="S571" s="86">
        <f t="shared" si="22"/>
        <v>0</v>
      </c>
    </row>
    <row r="572" spans="3:19" x14ac:dyDescent="0.15">
      <c r="C572" s="52" t="s">
        <v>279</v>
      </c>
      <c r="D572" s="52"/>
      <c r="E572" s="91"/>
      <c r="F572" s="75">
        <f t="shared" si="23"/>
        <v>29062000</v>
      </c>
      <c r="G572" s="92"/>
      <c r="H572" s="90">
        <v>-6000</v>
      </c>
      <c r="I572" s="93"/>
      <c r="J572" s="90">
        <v>34000</v>
      </c>
      <c r="K572" s="93"/>
      <c r="L572" s="90">
        <v>29034000</v>
      </c>
      <c r="M572" s="93"/>
      <c r="N572" s="90">
        <f>7035000-1000</f>
        <v>7034000</v>
      </c>
      <c r="O572" s="93"/>
      <c r="P572" s="90">
        <v>22028000</v>
      </c>
      <c r="Q572" s="93"/>
      <c r="R572" s="90">
        <v>0</v>
      </c>
      <c r="S572" s="86">
        <f t="shared" si="22"/>
        <v>0</v>
      </c>
    </row>
    <row r="573" spans="3:19" x14ac:dyDescent="0.15">
      <c r="C573" s="52" t="s">
        <v>219</v>
      </c>
      <c r="D573" s="52"/>
      <c r="E573" s="91"/>
      <c r="F573" s="75">
        <f t="shared" si="23"/>
        <v>1384000</v>
      </c>
      <c r="G573" s="92"/>
      <c r="H573" s="90">
        <v>14000</v>
      </c>
      <c r="I573" s="93"/>
      <c r="J573" s="90">
        <v>18000</v>
      </c>
      <c r="K573" s="93"/>
      <c r="L573" s="90">
        <v>1352000</v>
      </c>
      <c r="M573" s="93"/>
      <c r="N573" s="90">
        <v>933000</v>
      </c>
      <c r="O573" s="93"/>
      <c r="P573" s="90">
        <v>451000</v>
      </c>
      <c r="Q573" s="93"/>
      <c r="R573" s="90">
        <v>0</v>
      </c>
      <c r="S573" s="86">
        <f t="shared" si="22"/>
        <v>0</v>
      </c>
    </row>
    <row r="574" spans="3:19" x14ac:dyDescent="0.15">
      <c r="C574" s="52" t="s">
        <v>280</v>
      </c>
      <c r="D574" s="52"/>
      <c r="E574" s="91"/>
      <c r="F574" s="75">
        <f t="shared" si="23"/>
        <v>155000</v>
      </c>
      <c r="G574" s="92"/>
      <c r="H574" s="90">
        <v>65000</v>
      </c>
      <c r="I574" s="93"/>
      <c r="J574" s="90">
        <v>90000</v>
      </c>
      <c r="K574" s="93"/>
      <c r="L574" s="90">
        <v>0</v>
      </c>
      <c r="M574" s="93"/>
      <c r="N574" s="90">
        <v>60000</v>
      </c>
      <c r="O574" s="93"/>
      <c r="P574" s="90">
        <v>95000</v>
      </c>
      <c r="Q574" s="93"/>
      <c r="R574" s="90">
        <v>0</v>
      </c>
      <c r="S574" s="86">
        <f t="shared" si="22"/>
        <v>0</v>
      </c>
    </row>
    <row r="575" spans="3:19" x14ac:dyDescent="0.15">
      <c r="C575" s="52" t="s">
        <v>281</v>
      </c>
      <c r="D575" s="52"/>
      <c r="E575" s="91"/>
      <c r="F575" s="75">
        <f t="shared" si="23"/>
        <v>-86000</v>
      </c>
      <c r="G575" s="92"/>
      <c r="H575" s="90">
        <v>680000</v>
      </c>
      <c r="I575" s="93"/>
      <c r="J575" s="90">
        <v>-107000</v>
      </c>
      <c r="K575" s="93"/>
      <c r="L575" s="90">
        <v>-659000</v>
      </c>
      <c r="M575" s="93"/>
      <c r="N575" s="90">
        <v>-53000</v>
      </c>
      <c r="O575" s="93"/>
      <c r="P575" s="90">
        <f>-32000-1000</f>
        <v>-33000</v>
      </c>
      <c r="Q575" s="93"/>
      <c r="R575" s="90">
        <v>0</v>
      </c>
      <c r="S575" s="86">
        <f t="shared" si="22"/>
        <v>0</v>
      </c>
    </row>
    <row r="576" spans="3:19" x14ac:dyDescent="0.15">
      <c r="C576" s="52" t="s">
        <v>282</v>
      </c>
      <c r="D576" s="52"/>
      <c r="E576" s="91"/>
      <c r="F576" s="75">
        <f t="shared" si="23"/>
        <v>986000</v>
      </c>
      <c r="G576" s="92"/>
      <c r="H576" s="90">
        <v>88000</v>
      </c>
      <c r="I576" s="93"/>
      <c r="J576" s="90">
        <v>30000</v>
      </c>
      <c r="K576" s="93"/>
      <c r="L576" s="90">
        <f>869000-1000</f>
        <v>868000</v>
      </c>
      <c r="M576" s="93"/>
      <c r="N576" s="90">
        <v>448000</v>
      </c>
      <c r="O576" s="93"/>
      <c r="P576" s="90">
        <v>538000</v>
      </c>
      <c r="Q576" s="93"/>
      <c r="R576" s="90">
        <v>0</v>
      </c>
      <c r="S576" s="86">
        <f t="shared" si="22"/>
        <v>0</v>
      </c>
    </row>
    <row r="577" spans="3:19" x14ac:dyDescent="0.15">
      <c r="C577" s="52" t="s">
        <v>220</v>
      </c>
      <c r="D577" s="52"/>
      <c r="E577" s="91"/>
      <c r="F577" s="75">
        <f t="shared" si="23"/>
        <v>7537000</v>
      </c>
      <c r="G577" s="92"/>
      <c r="H577" s="90">
        <v>-2000</v>
      </c>
      <c r="I577" s="93"/>
      <c r="J577" s="90">
        <v>213000</v>
      </c>
      <c r="K577" s="93"/>
      <c r="L577" s="90">
        <v>7326000</v>
      </c>
      <c r="M577" s="93"/>
      <c r="N577" s="90">
        <v>4238000</v>
      </c>
      <c r="O577" s="93"/>
      <c r="P577" s="90">
        <v>3299000</v>
      </c>
      <c r="Q577" s="93"/>
      <c r="R577" s="90">
        <v>0</v>
      </c>
      <c r="S577" s="86">
        <f t="shared" si="22"/>
        <v>0</v>
      </c>
    </row>
    <row r="578" spans="3:19" x14ac:dyDescent="0.15">
      <c r="C578" s="52" t="s">
        <v>221</v>
      </c>
      <c r="D578" s="52"/>
      <c r="F578" s="75">
        <f t="shared" si="23"/>
        <v>372000</v>
      </c>
      <c r="G578" s="92"/>
      <c r="H578" s="90">
        <v>119000</v>
      </c>
      <c r="I578" s="93"/>
      <c r="J578" s="90">
        <v>76000</v>
      </c>
      <c r="K578" s="93"/>
      <c r="L578" s="90">
        <v>177000</v>
      </c>
      <c r="M578" s="93"/>
      <c r="N578" s="90">
        <v>225000</v>
      </c>
      <c r="O578" s="93"/>
      <c r="P578" s="90">
        <v>147000</v>
      </c>
      <c r="Q578" s="93"/>
      <c r="R578" s="90">
        <v>0</v>
      </c>
      <c r="S578" s="86">
        <f t="shared" si="22"/>
        <v>0</v>
      </c>
    </row>
    <row r="579" spans="3:19" x14ac:dyDescent="0.15">
      <c r="C579" s="52" t="s">
        <v>283</v>
      </c>
      <c r="D579" s="52"/>
      <c r="F579" s="75">
        <f t="shared" si="23"/>
        <v>872000</v>
      </c>
      <c r="G579" s="92"/>
      <c r="H579" s="90">
        <v>0</v>
      </c>
      <c r="I579" s="93"/>
      <c r="J579" s="90">
        <v>14000</v>
      </c>
      <c r="K579" s="93"/>
      <c r="L579" s="90">
        <v>858000</v>
      </c>
      <c r="M579" s="93"/>
      <c r="N579" s="90">
        <v>545000</v>
      </c>
      <c r="O579" s="93"/>
      <c r="P579" s="90">
        <v>327000</v>
      </c>
      <c r="Q579" s="93"/>
      <c r="R579" s="90">
        <v>0</v>
      </c>
      <c r="S579" s="86">
        <f t="shared" si="22"/>
        <v>0</v>
      </c>
    </row>
    <row r="580" spans="3:19" x14ac:dyDescent="0.15">
      <c r="C580" s="52" t="s">
        <v>530</v>
      </c>
      <c r="D580" s="52"/>
      <c r="E580" s="91"/>
      <c r="G580" s="69"/>
      <c r="H580" s="90"/>
      <c r="I580" s="90"/>
      <c r="J580" s="90"/>
      <c r="K580" s="90"/>
      <c r="L580" s="90"/>
      <c r="M580" s="90"/>
      <c r="N580" s="90"/>
      <c r="O580" s="90"/>
      <c r="P580" s="90"/>
      <c r="Q580" s="90"/>
      <c r="R580" s="90"/>
      <c r="S580" s="86">
        <f t="shared" si="22"/>
        <v>0</v>
      </c>
    </row>
    <row r="581" spans="3:19" x14ac:dyDescent="0.15">
      <c r="E581" s="52" t="s">
        <v>285</v>
      </c>
      <c r="F581" s="75">
        <f>SUM(H581:L581)</f>
        <v>677000</v>
      </c>
      <c r="G581" s="92"/>
      <c r="H581" s="90">
        <v>254000</v>
      </c>
      <c r="I581" s="93"/>
      <c r="J581" s="90">
        <v>207000</v>
      </c>
      <c r="K581" s="93"/>
      <c r="L581" s="90">
        <v>216000</v>
      </c>
      <c r="M581" s="93"/>
      <c r="N581" s="90">
        <v>403000</v>
      </c>
      <c r="O581" s="93"/>
      <c r="P581" s="90">
        <v>274000</v>
      </c>
      <c r="Q581" s="93"/>
      <c r="R581" s="90">
        <v>0</v>
      </c>
      <c r="S581" s="86">
        <f t="shared" si="22"/>
        <v>0</v>
      </c>
    </row>
    <row r="582" spans="3:19" x14ac:dyDescent="0.15">
      <c r="C582" s="52" t="s">
        <v>222</v>
      </c>
      <c r="D582" s="52"/>
      <c r="E582" s="91"/>
      <c r="G582" s="69"/>
      <c r="H582" s="90"/>
      <c r="I582" s="90"/>
      <c r="J582" s="90"/>
      <c r="K582" s="90"/>
      <c r="L582" s="90"/>
      <c r="M582" s="90"/>
      <c r="N582" s="90"/>
      <c r="O582" s="90"/>
      <c r="P582" s="90"/>
      <c r="Q582" s="90"/>
      <c r="R582" s="90"/>
      <c r="S582" s="86">
        <f t="shared" si="22"/>
        <v>0</v>
      </c>
    </row>
    <row r="583" spans="3:19" x14ac:dyDescent="0.15">
      <c r="E583" s="52" t="s">
        <v>223</v>
      </c>
      <c r="F583" s="75">
        <f>SUM(H583:L583)</f>
        <v>12358000</v>
      </c>
      <c r="G583" s="92"/>
      <c r="H583" s="90">
        <v>198000</v>
      </c>
      <c r="I583" s="93"/>
      <c r="J583" s="90">
        <f>269000-1000</f>
        <v>268000</v>
      </c>
      <c r="K583" s="93"/>
      <c r="L583" s="90">
        <v>11892000</v>
      </c>
      <c r="M583" s="93"/>
      <c r="N583" s="90">
        <v>3844000</v>
      </c>
      <c r="O583" s="93"/>
      <c r="P583" s="90">
        <v>8514000</v>
      </c>
      <c r="Q583" s="93"/>
      <c r="R583" s="90">
        <v>0</v>
      </c>
      <c r="S583" s="86">
        <f t="shared" si="22"/>
        <v>0</v>
      </c>
    </row>
    <row r="584" spans="3:19" x14ac:dyDescent="0.15">
      <c r="C584" s="52" t="s">
        <v>224</v>
      </c>
      <c r="D584" s="52"/>
      <c r="E584" s="91"/>
      <c r="F584" s="75">
        <f>SUM(H584:L584)</f>
        <v>477000</v>
      </c>
      <c r="G584" s="92"/>
      <c r="H584" s="90">
        <v>36000</v>
      </c>
      <c r="I584" s="93"/>
      <c r="J584" s="90">
        <v>0</v>
      </c>
      <c r="K584" s="93"/>
      <c r="L584" s="90">
        <v>441000</v>
      </c>
      <c r="M584" s="93"/>
      <c r="N584" s="90">
        <v>274000</v>
      </c>
      <c r="O584" s="93"/>
      <c r="P584" s="90">
        <v>203000</v>
      </c>
      <c r="Q584" s="93"/>
      <c r="R584" s="90">
        <v>0</v>
      </c>
      <c r="S584" s="86">
        <f t="shared" ref="S584:S647" si="24">+F584-N584-P584+R584</f>
        <v>0</v>
      </c>
    </row>
    <row r="585" spans="3:19" x14ac:dyDescent="0.15">
      <c r="C585" s="52" t="s">
        <v>225</v>
      </c>
      <c r="D585" s="52"/>
      <c r="E585" s="91"/>
      <c r="F585" s="75">
        <f>SUM(H585:L585)</f>
        <v>2899000</v>
      </c>
      <c r="G585" s="92"/>
      <c r="H585" s="90">
        <v>1455000</v>
      </c>
      <c r="I585" s="93"/>
      <c r="J585" s="90">
        <v>333000</v>
      </c>
      <c r="K585" s="93"/>
      <c r="L585" s="90">
        <v>1111000</v>
      </c>
      <c r="M585" s="93"/>
      <c r="N585" s="90">
        <f>1357000+1000</f>
        <v>1358000</v>
      </c>
      <c r="O585" s="93"/>
      <c r="P585" s="90">
        <v>1541000</v>
      </c>
      <c r="Q585" s="93"/>
      <c r="R585" s="90">
        <v>0</v>
      </c>
      <c r="S585" s="86">
        <f t="shared" si="24"/>
        <v>0</v>
      </c>
    </row>
    <row r="586" spans="3:19" x14ac:dyDescent="0.15">
      <c r="C586" s="52" t="s">
        <v>226</v>
      </c>
      <c r="D586" s="52"/>
      <c r="E586" s="91"/>
      <c r="F586" s="75">
        <f>SUM(H586:L586)</f>
        <v>2012000</v>
      </c>
      <c r="G586" s="92"/>
      <c r="H586" s="90">
        <v>441000</v>
      </c>
      <c r="I586" s="93"/>
      <c r="J586" s="90">
        <v>118000</v>
      </c>
      <c r="K586" s="93"/>
      <c r="L586" s="90">
        <v>1453000</v>
      </c>
      <c r="M586" s="93"/>
      <c r="N586" s="90">
        <v>1266000</v>
      </c>
      <c r="O586" s="93"/>
      <c r="P586" s="90">
        <v>746000</v>
      </c>
      <c r="Q586" s="93"/>
      <c r="R586" s="90">
        <v>0</v>
      </c>
      <c r="S586" s="86">
        <f t="shared" si="24"/>
        <v>0</v>
      </c>
    </row>
    <row r="587" spans="3:19" x14ac:dyDescent="0.15">
      <c r="C587" s="52" t="s">
        <v>286</v>
      </c>
      <c r="D587" s="52"/>
      <c r="E587" s="91"/>
      <c r="F587" s="75">
        <f>SUM(H587:L587)</f>
        <v>5049000</v>
      </c>
      <c r="G587" s="92"/>
      <c r="H587" s="90">
        <v>978000</v>
      </c>
      <c r="I587" s="93"/>
      <c r="J587" s="90">
        <v>1842000</v>
      </c>
      <c r="K587" s="93"/>
      <c r="L587" s="90">
        <v>2229000</v>
      </c>
      <c r="M587" s="93"/>
      <c r="N587" s="90">
        <v>2999000</v>
      </c>
      <c r="O587" s="93"/>
      <c r="P587" s="90">
        <v>2050000</v>
      </c>
      <c r="Q587" s="93"/>
      <c r="R587" s="90">
        <v>0</v>
      </c>
      <c r="S587" s="86">
        <f t="shared" si="24"/>
        <v>0</v>
      </c>
    </row>
    <row r="588" spans="3:19" x14ac:dyDescent="0.15">
      <c r="C588" s="52" t="s">
        <v>287</v>
      </c>
      <c r="D588" s="52"/>
      <c r="E588" s="91"/>
      <c r="G588" s="69"/>
      <c r="H588" s="90"/>
      <c r="I588" s="90"/>
      <c r="J588" s="90"/>
      <c r="K588" s="90"/>
      <c r="L588" s="90"/>
      <c r="M588" s="90"/>
      <c r="N588" s="90"/>
      <c r="O588" s="90"/>
      <c r="P588" s="90"/>
      <c r="Q588" s="90"/>
      <c r="R588" s="90"/>
      <c r="S588" s="86">
        <f t="shared" si="24"/>
        <v>0</v>
      </c>
    </row>
    <row r="589" spans="3:19" x14ac:dyDescent="0.15">
      <c r="C589" s="52"/>
      <c r="D589" s="52"/>
      <c r="E589" s="91" t="s">
        <v>288</v>
      </c>
      <c r="F589" s="75">
        <f>SUM(H589:L589)</f>
        <v>1739000</v>
      </c>
      <c r="G589" s="92"/>
      <c r="H589" s="90">
        <f>192000+1000</f>
        <v>193000</v>
      </c>
      <c r="I589" s="93"/>
      <c r="J589" s="90">
        <v>65000</v>
      </c>
      <c r="K589" s="93"/>
      <c r="L589" s="90">
        <v>1481000</v>
      </c>
      <c r="M589" s="93"/>
      <c r="N589" s="90">
        <v>960000</v>
      </c>
      <c r="O589" s="93"/>
      <c r="P589" s="90">
        <v>779000</v>
      </c>
      <c r="Q589" s="93"/>
      <c r="R589" s="90">
        <v>0</v>
      </c>
      <c r="S589" s="86">
        <f t="shared" si="24"/>
        <v>0</v>
      </c>
    </row>
    <row r="590" spans="3:19" x14ac:dyDescent="0.15">
      <c r="C590" s="52" t="s">
        <v>227</v>
      </c>
      <c r="D590" s="52"/>
      <c r="E590" s="91"/>
      <c r="G590" s="69"/>
      <c r="H590" s="90"/>
      <c r="I590" s="90"/>
      <c r="J590" s="90"/>
      <c r="K590" s="90"/>
      <c r="L590" s="90"/>
      <c r="M590" s="90"/>
      <c r="N590" s="90"/>
      <c r="O590" s="90"/>
      <c r="P590" s="90"/>
      <c r="Q590" s="90"/>
      <c r="R590" s="90"/>
      <c r="S590" s="86">
        <f t="shared" si="24"/>
        <v>0</v>
      </c>
    </row>
    <row r="591" spans="3:19" x14ac:dyDescent="0.15">
      <c r="E591" s="52" t="s">
        <v>51</v>
      </c>
      <c r="F591" s="75">
        <f>SUM(H591:L591)</f>
        <v>3000000</v>
      </c>
      <c r="G591" s="92"/>
      <c r="H591" s="90">
        <v>254000</v>
      </c>
      <c r="I591" s="93"/>
      <c r="J591" s="90">
        <v>0</v>
      </c>
      <c r="K591" s="93"/>
      <c r="L591" s="90">
        <v>2746000</v>
      </c>
      <c r="M591" s="93"/>
      <c r="N591" s="90">
        <f>989000-1000</f>
        <v>988000</v>
      </c>
      <c r="O591" s="93"/>
      <c r="P591" s="90">
        <v>2012000</v>
      </c>
      <c r="Q591" s="93"/>
      <c r="R591" s="90">
        <v>0</v>
      </c>
      <c r="S591" s="86">
        <f t="shared" si="24"/>
        <v>0</v>
      </c>
    </row>
    <row r="592" spans="3:19" x14ac:dyDescent="0.15">
      <c r="C592" s="53" t="s">
        <v>228</v>
      </c>
      <c r="F592" s="75">
        <f>SUM(H592:L592)</f>
        <v>4230000</v>
      </c>
      <c r="G592" s="92"/>
      <c r="H592" s="90">
        <v>3000</v>
      </c>
      <c r="I592" s="93"/>
      <c r="J592" s="90">
        <v>689000</v>
      </c>
      <c r="K592" s="93"/>
      <c r="L592" s="90">
        <v>3538000</v>
      </c>
      <c r="M592" s="93"/>
      <c r="N592" s="90">
        <v>2121000</v>
      </c>
      <c r="O592" s="93"/>
      <c r="P592" s="90">
        <v>2109000</v>
      </c>
      <c r="Q592" s="93"/>
      <c r="R592" s="90">
        <v>0</v>
      </c>
      <c r="S592" s="86">
        <f t="shared" si="24"/>
        <v>0</v>
      </c>
    </row>
    <row r="593" spans="3:19" x14ac:dyDescent="0.15">
      <c r="C593" s="52" t="s">
        <v>229</v>
      </c>
      <c r="D593" s="52"/>
      <c r="E593" s="91"/>
      <c r="G593" s="69"/>
      <c r="H593" s="90"/>
      <c r="I593" s="90"/>
      <c r="J593" s="90"/>
      <c r="K593" s="90"/>
      <c r="L593" s="90"/>
      <c r="M593" s="90"/>
      <c r="N593" s="90"/>
      <c r="O593" s="90"/>
      <c r="P593" s="90"/>
      <c r="Q593" s="90"/>
      <c r="R593" s="90"/>
      <c r="S593" s="86">
        <f t="shared" si="24"/>
        <v>0</v>
      </c>
    </row>
    <row r="594" spans="3:19" x14ac:dyDescent="0.15">
      <c r="E594" s="52" t="s">
        <v>230</v>
      </c>
      <c r="F594" s="75">
        <f>SUM(H594:L594)</f>
        <v>1652000</v>
      </c>
      <c r="G594" s="92"/>
      <c r="H594" s="90">
        <v>233000</v>
      </c>
      <c r="I594" s="93"/>
      <c r="J594" s="90">
        <v>53000</v>
      </c>
      <c r="K594" s="93"/>
      <c r="L594" s="90">
        <f>1367000-1000</f>
        <v>1366000</v>
      </c>
      <c r="M594" s="93"/>
      <c r="N594" s="90">
        <v>785000</v>
      </c>
      <c r="O594" s="93"/>
      <c r="P594" s="90">
        <v>867000</v>
      </c>
      <c r="Q594" s="93"/>
      <c r="R594" s="90">
        <v>0</v>
      </c>
      <c r="S594" s="86">
        <f t="shared" si="24"/>
        <v>0</v>
      </c>
    </row>
    <row r="595" spans="3:19" x14ac:dyDescent="0.15">
      <c r="C595" s="52" t="s">
        <v>231</v>
      </c>
      <c r="D595" s="52"/>
      <c r="E595" s="91"/>
      <c r="F595" s="75">
        <f>SUM(H595:L595)</f>
        <v>347000</v>
      </c>
      <c r="G595" s="92"/>
      <c r="H595" s="90">
        <v>0</v>
      </c>
      <c r="I595" s="93"/>
      <c r="J595" s="90">
        <v>0</v>
      </c>
      <c r="K595" s="93"/>
      <c r="L595" s="90">
        <v>347000</v>
      </c>
      <c r="M595" s="93"/>
      <c r="N595" s="90">
        <v>186000</v>
      </c>
      <c r="O595" s="93"/>
      <c r="P595" s="90">
        <v>161000</v>
      </c>
      <c r="Q595" s="93"/>
      <c r="R595" s="90">
        <v>0</v>
      </c>
      <c r="S595" s="86">
        <f t="shared" si="24"/>
        <v>0</v>
      </c>
    </row>
    <row r="596" spans="3:19" x14ac:dyDescent="0.15">
      <c r="C596" s="53" t="s">
        <v>289</v>
      </c>
      <c r="D596" s="52"/>
      <c r="G596" s="69"/>
      <c r="H596" s="90"/>
      <c r="I596" s="90"/>
      <c r="J596" s="90"/>
      <c r="K596" s="90"/>
      <c r="L596" s="90"/>
      <c r="M596" s="90"/>
      <c r="N596" s="90"/>
      <c r="O596" s="90"/>
      <c r="P596" s="90"/>
      <c r="Q596" s="90"/>
      <c r="R596" s="90"/>
      <c r="S596" s="86">
        <f t="shared" si="24"/>
        <v>0</v>
      </c>
    </row>
    <row r="597" spans="3:19" x14ac:dyDescent="0.15">
      <c r="C597" s="86"/>
      <c r="E597" s="53" t="s">
        <v>290</v>
      </c>
      <c r="F597" s="75">
        <f>SUM(H597:L597)</f>
        <v>2847000</v>
      </c>
      <c r="G597" s="92"/>
      <c r="H597" s="90">
        <v>0</v>
      </c>
      <c r="I597" s="93"/>
      <c r="J597" s="90">
        <v>0</v>
      </c>
      <c r="K597" s="93"/>
      <c r="L597" s="90">
        <v>2847000</v>
      </c>
      <c r="M597" s="93"/>
      <c r="N597" s="90">
        <v>1951000</v>
      </c>
      <c r="O597" s="93"/>
      <c r="P597" s="90">
        <v>896000</v>
      </c>
      <c r="Q597" s="93"/>
      <c r="R597" s="90">
        <v>0</v>
      </c>
      <c r="S597" s="86">
        <f t="shared" si="24"/>
        <v>0</v>
      </c>
    </row>
    <row r="598" spans="3:19" x14ac:dyDescent="0.15">
      <c r="C598" s="52" t="s">
        <v>232</v>
      </c>
      <c r="D598" s="52"/>
      <c r="E598" s="91"/>
      <c r="F598" s="75">
        <f>SUM(H598:L598)</f>
        <v>874000</v>
      </c>
      <c r="G598" s="92"/>
      <c r="H598" s="90">
        <v>2000</v>
      </c>
      <c r="I598" s="93"/>
      <c r="J598" s="90">
        <v>2000</v>
      </c>
      <c r="K598" s="93"/>
      <c r="L598" s="90">
        <f>871000-1000</f>
        <v>870000</v>
      </c>
      <c r="M598" s="93"/>
      <c r="N598" s="90">
        <v>424000</v>
      </c>
      <c r="O598" s="93"/>
      <c r="P598" s="90">
        <v>450000</v>
      </c>
      <c r="Q598" s="93"/>
      <c r="R598" s="90">
        <v>0</v>
      </c>
      <c r="S598" s="86">
        <f t="shared" si="24"/>
        <v>0</v>
      </c>
    </row>
    <row r="599" spans="3:19" x14ac:dyDescent="0.15">
      <c r="C599" s="52" t="s">
        <v>233</v>
      </c>
      <c r="D599" s="52"/>
      <c r="E599" s="91"/>
      <c r="F599" s="75">
        <f>SUM(H599:L599)</f>
        <v>1769000</v>
      </c>
      <c r="G599" s="92"/>
      <c r="H599" s="90">
        <v>12000</v>
      </c>
      <c r="I599" s="93"/>
      <c r="J599" s="90">
        <v>133000</v>
      </c>
      <c r="K599" s="93"/>
      <c r="L599" s="90">
        <v>1624000</v>
      </c>
      <c r="M599" s="93"/>
      <c r="N599" s="90">
        <f>741000+1000</f>
        <v>742000</v>
      </c>
      <c r="O599" s="93"/>
      <c r="P599" s="90">
        <v>1167000</v>
      </c>
      <c r="Q599" s="93"/>
      <c r="R599" s="90">
        <v>140000</v>
      </c>
      <c r="S599" s="86">
        <f t="shared" si="24"/>
        <v>0</v>
      </c>
    </row>
    <row r="600" spans="3:19" x14ac:dyDescent="0.15">
      <c r="C600" s="52" t="s">
        <v>291</v>
      </c>
      <c r="D600" s="52"/>
      <c r="E600" s="91"/>
      <c r="G600" s="69"/>
      <c r="H600" s="90"/>
      <c r="I600" s="90"/>
      <c r="J600" s="90"/>
      <c r="K600" s="90"/>
      <c r="L600" s="90"/>
      <c r="M600" s="90"/>
      <c r="N600" s="90"/>
      <c r="O600" s="90"/>
      <c r="P600" s="90"/>
      <c r="Q600" s="90"/>
      <c r="R600" s="90"/>
      <c r="S600" s="86">
        <f t="shared" si="24"/>
        <v>0</v>
      </c>
    </row>
    <row r="601" spans="3:19" x14ac:dyDescent="0.15">
      <c r="C601" s="86"/>
      <c r="D601" s="52"/>
      <c r="E601" s="91" t="s">
        <v>292</v>
      </c>
      <c r="F601" s="75">
        <f t="shared" ref="F601:F616" si="25">SUM(H601:L601)</f>
        <v>2093000</v>
      </c>
      <c r="G601" s="92"/>
      <c r="H601" s="90">
        <v>79000</v>
      </c>
      <c r="I601" s="93"/>
      <c r="J601" s="90">
        <f>14000+1000</f>
        <v>15000</v>
      </c>
      <c r="K601" s="93"/>
      <c r="L601" s="90">
        <v>1999000</v>
      </c>
      <c r="M601" s="93"/>
      <c r="N601" s="90">
        <v>1180000</v>
      </c>
      <c r="O601" s="93"/>
      <c r="P601" s="90">
        <v>913000</v>
      </c>
      <c r="Q601" s="93"/>
      <c r="R601" s="90">
        <v>0</v>
      </c>
      <c r="S601" s="86">
        <f t="shared" si="24"/>
        <v>0</v>
      </c>
    </row>
    <row r="602" spans="3:19" x14ac:dyDescent="0.15">
      <c r="C602" s="52" t="s">
        <v>293</v>
      </c>
      <c r="D602" s="52"/>
      <c r="E602" s="91"/>
      <c r="F602" s="75">
        <f t="shared" si="25"/>
        <v>24000</v>
      </c>
      <c r="G602" s="92"/>
      <c r="H602" s="90">
        <v>1000</v>
      </c>
      <c r="I602" s="93"/>
      <c r="J602" s="90">
        <v>23000</v>
      </c>
      <c r="K602" s="93"/>
      <c r="L602" s="90">
        <v>0</v>
      </c>
      <c r="M602" s="93"/>
      <c r="N602" s="90">
        <f>14000+1000</f>
        <v>15000</v>
      </c>
      <c r="O602" s="93"/>
      <c r="P602" s="90">
        <v>9000</v>
      </c>
      <c r="Q602" s="93"/>
      <c r="R602" s="90">
        <v>0</v>
      </c>
      <c r="S602" s="86">
        <f t="shared" si="24"/>
        <v>0</v>
      </c>
    </row>
    <row r="603" spans="3:19" x14ac:dyDescent="0.15">
      <c r="C603" s="52" t="s">
        <v>234</v>
      </c>
      <c r="D603" s="52"/>
      <c r="E603" s="53"/>
      <c r="F603" s="75">
        <f t="shared" si="25"/>
        <v>9834000</v>
      </c>
      <c r="G603" s="92"/>
      <c r="H603" s="90">
        <v>2735000</v>
      </c>
      <c r="I603" s="93"/>
      <c r="J603" s="90">
        <v>3101000</v>
      </c>
      <c r="K603" s="93"/>
      <c r="L603" s="90">
        <v>3998000</v>
      </c>
      <c r="M603" s="93"/>
      <c r="N603" s="90">
        <v>371000</v>
      </c>
      <c r="O603" s="93"/>
      <c r="P603" s="90">
        <v>9463000</v>
      </c>
      <c r="Q603" s="93"/>
      <c r="R603" s="90">
        <v>0</v>
      </c>
      <c r="S603" s="86">
        <f t="shared" si="24"/>
        <v>0</v>
      </c>
    </row>
    <row r="604" spans="3:19" x14ac:dyDescent="0.15">
      <c r="C604" s="52" t="s">
        <v>235</v>
      </c>
      <c r="D604" s="52"/>
      <c r="E604" s="53"/>
      <c r="F604" s="75">
        <f t="shared" si="25"/>
        <v>30000</v>
      </c>
      <c r="G604" s="92"/>
      <c r="H604" s="90">
        <v>0</v>
      </c>
      <c r="I604" s="93"/>
      <c r="J604" s="90">
        <v>27000</v>
      </c>
      <c r="K604" s="93"/>
      <c r="L604" s="90">
        <v>3000</v>
      </c>
      <c r="M604" s="93"/>
      <c r="N604" s="90">
        <v>22000</v>
      </c>
      <c r="O604" s="93"/>
      <c r="P604" s="90">
        <v>8000</v>
      </c>
      <c r="Q604" s="93"/>
      <c r="R604" s="90">
        <v>0</v>
      </c>
      <c r="S604" s="86">
        <f t="shared" si="24"/>
        <v>0</v>
      </c>
    </row>
    <row r="605" spans="3:19" x14ac:dyDescent="0.15">
      <c r="C605" s="52" t="s">
        <v>295</v>
      </c>
      <c r="D605" s="52"/>
      <c r="E605" s="91"/>
      <c r="F605" s="75">
        <f t="shared" si="25"/>
        <v>1998000</v>
      </c>
      <c r="G605" s="92"/>
      <c r="H605" s="90">
        <v>663000</v>
      </c>
      <c r="I605" s="93"/>
      <c r="J605" s="90">
        <v>1000</v>
      </c>
      <c r="K605" s="93"/>
      <c r="L605" s="90">
        <v>1334000</v>
      </c>
      <c r="M605" s="93"/>
      <c r="N605" s="90">
        <v>1171000</v>
      </c>
      <c r="O605" s="93"/>
      <c r="P605" s="90">
        <v>827000</v>
      </c>
      <c r="Q605" s="93"/>
      <c r="R605" s="90">
        <v>0</v>
      </c>
      <c r="S605" s="86">
        <f t="shared" si="24"/>
        <v>0</v>
      </c>
    </row>
    <row r="606" spans="3:19" x14ac:dyDescent="0.15">
      <c r="C606" s="52" t="s">
        <v>296</v>
      </c>
      <c r="D606" s="52"/>
      <c r="E606" s="91"/>
      <c r="F606" s="75">
        <f t="shared" si="25"/>
        <v>7822000</v>
      </c>
      <c r="G606" s="92"/>
      <c r="H606" s="90">
        <v>6549000</v>
      </c>
      <c r="I606" s="93"/>
      <c r="J606" s="90">
        <v>1270000</v>
      </c>
      <c r="K606" s="93"/>
      <c r="L606" s="90">
        <f>4000-1000</f>
        <v>3000</v>
      </c>
      <c r="M606" s="93"/>
      <c r="N606" s="90">
        <v>4377000</v>
      </c>
      <c r="O606" s="93"/>
      <c r="P606" s="90">
        <v>3458000</v>
      </c>
      <c r="Q606" s="93"/>
      <c r="R606" s="90">
        <v>13000</v>
      </c>
      <c r="S606" s="86">
        <f t="shared" si="24"/>
        <v>0</v>
      </c>
    </row>
    <row r="607" spans="3:19" x14ac:dyDescent="0.15">
      <c r="C607" s="52" t="s">
        <v>298</v>
      </c>
      <c r="D607" s="52"/>
      <c r="E607" s="91"/>
      <c r="F607" s="75">
        <f t="shared" si="25"/>
        <v>4427000</v>
      </c>
      <c r="G607" s="92"/>
      <c r="H607" s="90">
        <v>331000</v>
      </c>
      <c r="I607" s="93"/>
      <c r="J607" s="90">
        <v>34000</v>
      </c>
      <c r="K607" s="93"/>
      <c r="L607" s="90">
        <v>4062000</v>
      </c>
      <c r="M607" s="93"/>
      <c r="N607" s="90">
        <v>2061000</v>
      </c>
      <c r="O607" s="93"/>
      <c r="P607" s="90">
        <v>2366000</v>
      </c>
      <c r="Q607" s="93"/>
      <c r="R607" s="90">
        <v>0</v>
      </c>
      <c r="S607" s="86">
        <f t="shared" si="24"/>
        <v>0</v>
      </c>
    </row>
    <row r="608" spans="3:19" x14ac:dyDescent="0.15">
      <c r="C608" s="52" t="s">
        <v>236</v>
      </c>
      <c r="D608" s="52"/>
      <c r="E608" s="91"/>
      <c r="F608" s="75">
        <f t="shared" si="25"/>
        <v>43548000</v>
      </c>
      <c r="G608" s="92"/>
      <c r="H608" s="90">
        <v>661000</v>
      </c>
      <c r="I608" s="93"/>
      <c r="J608" s="90">
        <v>-152000</v>
      </c>
      <c r="K608" s="93"/>
      <c r="L608" s="90">
        <v>43039000</v>
      </c>
      <c r="M608" s="93"/>
      <c r="N608" s="90">
        <v>19162000</v>
      </c>
      <c r="O608" s="93"/>
      <c r="P608" s="90">
        <v>24386000</v>
      </c>
      <c r="Q608" s="93"/>
      <c r="R608" s="90">
        <v>0</v>
      </c>
      <c r="S608" s="86">
        <f t="shared" si="24"/>
        <v>0</v>
      </c>
    </row>
    <row r="609" spans="1:19" x14ac:dyDescent="0.15">
      <c r="C609" s="52" t="s">
        <v>237</v>
      </c>
      <c r="D609" s="52"/>
      <c r="E609" s="91"/>
      <c r="F609" s="75">
        <f t="shared" si="25"/>
        <v>918000</v>
      </c>
      <c r="G609" s="92"/>
      <c r="H609" s="90">
        <v>3000</v>
      </c>
      <c r="I609" s="93"/>
      <c r="J609" s="90">
        <v>0</v>
      </c>
      <c r="K609" s="93"/>
      <c r="L609" s="90">
        <v>915000</v>
      </c>
      <c r="M609" s="93"/>
      <c r="N609" s="90">
        <v>359000</v>
      </c>
      <c r="O609" s="93"/>
      <c r="P609" s="90">
        <v>559000</v>
      </c>
      <c r="Q609" s="93"/>
      <c r="R609" s="90">
        <v>0</v>
      </c>
      <c r="S609" s="86">
        <f t="shared" si="24"/>
        <v>0</v>
      </c>
    </row>
    <row r="610" spans="1:19" x14ac:dyDescent="0.15">
      <c r="C610" s="52" t="s">
        <v>238</v>
      </c>
      <c r="D610" s="52"/>
      <c r="E610" s="91"/>
      <c r="F610" s="75">
        <f t="shared" si="25"/>
        <v>301000</v>
      </c>
      <c r="G610" s="92"/>
      <c r="H610" s="90">
        <f>19000</f>
        <v>19000</v>
      </c>
      <c r="I610" s="93"/>
      <c r="J610" s="90">
        <v>20000</v>
      </c>
      <c r="K610" s="93"/>
      <c r="L610" s="90">
        <v>262000</v>
      </c>
      <c r="M610" s="93"/>
      <c r="N610" s="90">
        <f>143000+1000</f>
        <v>144000</v>
      </c>
      <c r="O610" s="93"/>
      <c r="P610" s="90">
        <v>157000</v>
      </c>
      <c r="Q610" s="93"/>
      <c r="R610" s="90">
        <v>0</v>
      </c>
      <c r="S610" s="86">
        <f t="shared" si="24"/>
        <v>0</v>
      </c>
    </row>
    <row r="611" spans="1:19" x14ac:dyDescent="0.15">
      <c r="C611" s="52" t="s">
        <v>239</v>
      </c>
      <c r="D611" s="52"/>
      <c r="E611" s="91"/>
      <c r="F611" s="75">
        <f t="shared" si="25"/>
        <v>283000</v>
      </c>
      <c r="G611" s="92"/>
      <c r="H611" s="90">
        <v>32000</v>
      </c>
      <c r="I611" s="93"/>
      <c r="J611" s="90">
        <v>9000</v>
      </c>
      <c r="K611" s="93"/>
      <c r="L611" s="90">
        <v>242000</v>
      </c>
      <c r="M611" s="93"/>
      <c r="N611" s="90">
        <v>146000</v>
      </c>
      <c r="O611" s="93"/>
      <c r="P611" s="90">
        <v>137000</v>
      </c>
      <c r="Q611" s="93"/>
      <c r="R611" s="90">
        <v>0</v>
      </c>
      <c r="S611" s="86">
        <f t="shared" si="24"/>
        <v>0</v>
      </c>
    </row>
    <row r="612" spans="1:19" x14ac:dyDescent="0.15">
      <c r="C612" s="52" t="s">
        <v>318</v>
      </c>
      <c r="D612" s="52"/>
      <c r="E612" s="91"/>
      <c r="F612" s="75">
        <f t="shared" si="25"/>
        <v>2000</v>
      </c>
      <c r="G612" s="92"/>
      <c r="H612" s="90">
        <v>0</v>
      </c>
      <c r="I612" s="93"/>
      <c r="J612" s="90">
        <v>0</v>
      </c>
      <c r="K612" s="93"/>
      <c r="L612" s="90">
        <v>2000</v>
      </c>
      <c r="M612" s="93"/>
      <c r="N612" s="90">
        <v>2000</v>
      </c>
      <c r="O612" s="93"/>
      <c r="P612" s="90">
        <v>0</v>
      </c>
      <c r="Q612" s="93"/>
      <c r="R612" s="90">
        <v>0</v>
      </c>
      <c r="S612" s="86">
        <f t="shared" si="24"/>
        <v>0</v>
      </c>
    </row>
    <row r="613" spans="1:19" x14ac:dyDescent="0.15">
      <c r="C613" s="52" t="s">
        <v>510</v>
      </c>
      <c r="D613" s="52"/>
      <c r="E613" s="91"/>
      <c r="F613" s="75">
        <f t="shared" si="25"/>
        <v>356000</v>
      </c>
      <c r="G613" s="92"/>
      <c r="H613" s="90">
        <v>1000</v>
      </c>
      <c r="I613" s="93"/>
      <c r="J613" s="90">
        <v>170000</v>
      </c>
      <c r="K613" s="93"/>
      <c r="L613" s="90">
        <v>185000</v>
      </c>
      <c r="M613" s="93"/>
      <c r="N613" s="90">
        <v>214000</v>
      </c>
      <c r="O613" s="93"/>
      <c r="P613" s="90">
        <v>142000</v>
      </c>
      <c r="Q613" s="93"/>
      <c r="R613" s="90">
        <v>0</v>
      </c>
      <c r="S613" s="86">
        <f t="shared" si="24"/>
        <v>0</v>
      </c>
    </row>
    <row r="614" spans="1:19" x14ac:dyDescent="0.15">
      <c r="C614" s="52" t="s">
        <v>511</v>
      </c>
      <c r="D614" s="52"/>
      <c r="E614" s="91"/>
      <c r="F614" s="75">
        <f t="shared" si="25"/>
        <v>997000</v>
      </c>
      <c r="G614" s="92"/>
      <c r="H614" s="90">
        <v>13000</v>
      </c>
      <c r="I614" s="93"/>
      <c r="J614" s="90">
        <v>1000</v>
      </c>
      <c r="K614" s="93"/>
      <c r="L614" s="90">
        <v>983000</v>
      </c>
      <c r="M614" s="93"/>
      <c r="N614" s="90">
        <v>531000</v>
      </c>
      <c r="O614" s="93"/>
      <c r="P614" s="90">
        <v>466000</v>
      </c>
      <c r="Q614" s="93"/>
      <c r="R614" s="90">
        <v>0</v>
      </c>
      <c r="S614" s="86">
        <f t="shared" si="24"/>
        <v>0</v>
      </c>
    </row>
    <row r="615" spans="1:19" x14ac:dyDescent="0.15">
      <c r="C615" s="53" t="s">
        <v>303</v>
      </c>
      <c r="F615" s="75">
        <f t="shared" si="25"/>
        <v>1679000</v>
      </c>
      <c r="G615" s="92"/>
      <c r="H615" s="90">
        <v>20000</v>
      </c>
      <c r="I615" s="93"/>
      <c r="J615" s="90">
        <v>70000</v>
      </c>
      <c r="K615" s="93"/>
      <c r="L615" s="90">
        <v>1589000</v>
      </c>
      <c r="M615" s="93"/>
      <c r="N615" s="90">
        <v>761000</v>
      </c>
      <c r="O615" s="93"/>
      <c r="P615" s="90">
        <v>918000</v>
      </c>
      <c r="Q615" s="93"/>
      <c r="R615" s="90">
        <v>0</v>
      </c>
      <c r="S615" s="86">
        <f t="shared" si="24"/>
        <v>0</v>
      </c>
    </row>
    <row r="616" spans="1:19" x14ac:dyDescent="0.15">
      <c r="C616" s="53" t="s">
        <v>529</v>
      </c>
      <c r="F616" s="75">
        <f t="shared" si="25"/>
        <v>835000</v>
      </c>
      <c r="G616" s="92"/>
      <c r="H616" s="90">
        <v>663000</v>
      </c>
      <c r="I616" s="93"/>
      <c r="J616" s="90">
        <v>168000</v>
      </c>
      <c r="K616" s="93"/>
      <c r="L616" s="90">
        <v>4000</v>
      </c>
      <c r="M616" s="93"/>
      <c r="N616" s="90">
        <v>582000</v>
      </c>
      <c r="O616" s="93"/>
      <c r="P616" s="90">
        <v>275000</v>
      </c>
      <c r="Q616" s="93"/>
      <c r="R616" s="90">
        <v>22000</v>
      </c>
      <c r="S616" s="86">
        <f t="shared" si="24"/>
        <v>0</v>
      </c>
    </row>
    <row r="617" spans="1:19" x14ac:dyDescent="0.15">
      <c r="B617" s="86"/>
      <c r="C617" s="52" t="s">
        <v>242</v>
      </c>
      <c r="D617" s="52"/>
      <c r="E617" s="53"/>
      <c r="G617" s="69"/>
      <c r="H617" s="90"/>
      <c r="I617" s="90"/>
      <c r="J617" s="90"/>
      <c r="K617" s="90"/>
      <c r="L617" s="90"/>
      <c r="M617" s="90"/>
      <c r="N617" s="90"/>
      <c r="O617" s="90"/>
      <c r="P617" s="90"/>
      <c r="Q617" s="90"/>
      <c r="R617" s="90"/>
      <c r="S617" s="86">
        <f t="shared" si="24"/>
        <v>0</v>
      </c>
    </row>
    <row r="618" spans="1:19" x14ac:dyDescent="0.15">
      <c r="B618" s="86"/>
      <c r="C618" s="52" t="s">
        <v>272</v>
      </c>
      <c r="D618" s="52"/>
      <c r="E618" s="53" t="s">
        <v>243</v>
      </c>
      <c r="F618" s="75">
        <f>SUM(H618:L618)</f>
        <v>806000</v>
      </c>
      <c r="G618" s="92"/>
      <c r="H618" s="90">
        <v>36000</v>
      </c>
      <c r="I618" s="93"/>
      <c r="J618" s="90">
        <v>692000</v>
      </c>
      <c r="K618" s="93"/>
      <c r="L618" s="90">
        <v>78000</v>
      </c>
      <c r="M618" s="93"/>
      <c r="N618" s="90">
        <v>464000</v>
      </c>
      <c r="O618" s="93"/>
      <c r="P618" s="90">
        <v>342000</v>
      </c>
      <c r="Q618" s="93"/>
      <c r="R618" s="90">
        <v>0</v>
      </c>
      <c r="S618" s="86">
        <f t="shared" si="24"/>
        <v>0</v>
      </c>
    </row>
    <row r="619" spans="1:19" x14ac:dyDescent="0.15">
      <c r="C619" s="52" t="s">
        <v>244</v>
      </c>
      <c r="D619" s="52"/>
      <c r="E619" s="91"/>
      <c r="F619" s="94">
        <f>SUM(H619:L619)</f>
        <v>-964000</v>
      </c>
      <c r="G619" s="69"/>
      <c r="H619" s="95">
        <f>-1092000-1000-3000</f>
        <v>-1096000</v>
      </c>
      <c r="I619" s="90"/>
      <c r="J619" s="95">
        <f>1101000+2000</f>
        <v>1103000</v>
      </c>
      <c r="K619" s="90"/>
      <c r="L619" s="95">
        <f>-973000-1000+3000</f>
        <v>-971000</v>
      </c>
      <c r="M619" s="90"/>
      <c r="N619" s="95">
        <f>-917000+1000</f>
        <v>-916000</v>
      </c>
      <c r="O619" s="90"/>
      <c r="P619" s="95">
        <f>-47000-1000</f>
        <v>-48000</v>
      </c>
      <c r="Q619" s="90"/>
      <c r="R619" s="95">
        <v>0</v>
      </c>
      <c r="S619" s="86">
        <f t="shared" si="24"/>
        <v>0</v>
      </c>
    </row>
    <row r="620" spans="1:19" x14ac:dyDescent="0.15"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86">
        <f t="shared" si="24"/>
        <v>0</v>
      </c>
    </row>
    <row r="621" spans="1:19" x14ac:dyDescent="0.15">
      <c r="E621" s="52" t="s">
        <v>3</v>
      </c>
      <c r="F621" s="94">
        <f>SUM(H621:L621)</f>
        <v>220620000</v>
      </c>
      <c r="G621" s="69"/>
      <c r="H621" s="94">
        <f>SUM(H534:H620)</f>
        <v>21556000</v>
      </c>
      <c r="I621" s="75"/>
      <c r="J621" s="94">
        <f>SUM(J534:J620)</f>
        <v>20451000</v>
      </c>
      <c r="K621" s="75"/>
      <c r="L621" s="94">
        <f>SUM(L534:L620)</f>
        <v>178613000</v>
      </c>
      <c r="M621" s="75"/>
      <c r="N621" s="94">
        <f>SUM(N534:N620)</f>
        <v>92149000</v>
      </c>
      <c r="O621" s="75"/>
      <c r="P621" s="94">
        <f>SUM(P534:P620)</f>
        <v>129828000</v>
      </c>
      <c r="Q621" s="75"/>
      <c r="R621" s="94">
        <f>SUM(R534:R620)</f>
        <v>1357000</v>
      </c>
      <c r="S621" s="86">
        <f t="shared" si="24"/>
        <v>0</v>
      </c>
    </row>
    <row r="622" spans="1:19" x14ac:dyDescent="0.15">
      <c r="A622" s="88"/>
      <c r="B622" s="88"/>
      <c r="C622" s="88"/>
      <c r="D622" s="88"/>
      <c r="E622" s="88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86">
        <f t="shared" si="24"/>
        <v>0</v>
      </c>
    </row>
    <row r="623" spans="1:19" x14ac:dyDescent="0.15">
      <c r="B623" s="53" t="s">
        <v>28</v>
      </c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86">
        <f t="shared" si="24"/>
        <v>0</v>
      </c>
    </row>
    <row r="624" spans="1:19" x14ac:dyDescent="0.15">
      <c r="C624" s="53" t="s">
        <v>304</v>
      </c>
      <c r="F624" s="75">
        <f>SUM(H624:L624)</f>
        <v>8533000</v>
      </c>
      <c r="G624" s="92"/>
      <c r="H624" s="90">
        <v>1817000</v>
      </c>
      <c r="I624" s="93"/>
      <c r="J624" s="90">
        <v>3883000</v>
      </c>
      <c r="K624" s="93"/>
      <c r="L624" s="90">
        <v>2833000</v>
      </c>
      <c r="M624" s="93"/>
      <c r="N624" s="90">
        <v>3959000</v>
      </c>
      <c r="O624" s="93"/>
      <c r="P624" s="90">
        <v>4593000</v>
      </c>
      <c r="Q624" s="93"/>
      <c r="R624" s="90">
        <v>19000</v>
      </c>
      <c r="S624" s="86">
        <f t="shared" si="24"/>
        <v>0</v>
      </c>
    </row>
    <row r="625" spans="3:19" x14ac:dyDescent="0.15">
      <c r="C625" s="53" t="s">
        <v>305</v>
      </c>
      <c r="G625" s="69"/>
      <c r="S625" s="86">
        <f t="shared" si="24"/>
        <v>0</v>
      </c>
    </row>
    <row r="626" spans="3:19" x14ac:dyDescent="0.15">
      <c r="C626" s="86"/>
      <c r="E626" s="52" t="s">
        <v>306</v>
      </c>
      <c r="F626" s="75">
        <f t="shared" ref="F626:F632" si="26">SUM(H626:L626)</f>
        <v>3112000</v>
      </c>
      <c r="G626" s="92"/>
      <c r="H626" s="90">
        <v>1693000</v>
      </c>
      <c r="I626" s="93"/>
      <c r="J626" s="90">
        <v>803000</v>
      </c>
      <c r="K626" s="93"/>
      <c r="L626" s="90">
        <v>616000</v>
      </c>
      <c r="M626" s="93"/>
      <c r="N626" s="90">
        <v>1596000</v>
      </c>
      <c r="O626" s="93"/>
      <c r="P626" s="90">
        <v>1516000</v>
      </c>
      <c r="Q626" s="93"/>
      <c r="R626" s="90">
        <v>0</v>
      </c>
      <c r="S626" s="86">
        <f t="shared" si="24"/>
        <v>0</v>
      </c>
    </row>
    <row r="627" spans="3:19" x14ac:dyDescent="0.15">
      <c r="C627" s="52" t="s">
        <v>307</v>
      </c>
      <c r="D627" s="52"/>
      <c r="E627" s="91"/>
      <c r="F627" s="75">
        <f t="shared" si="26"/>
        <v>7724000</v>
      </c>
      <c r="G627" s="92"/>
      <c r="H627" s="90">
        <v>41000</v>
      </c>
      <c r="I627" s="93"/>
      <c r="J627" s="90">
        <v>2544000</v>
      </c>
      <c r="K627" s="93"/>
      <c r="L627" s="90">
        <v>5139000</v>
      </c>
      <c r="M627" s="93"/>
      <c r="N627" s="90">
        <v>3897000</v>
      </c>
      <c r="O627" s="93"/>
      <c r="P627" s="90">
        <v>3827000</v>
      </c>
      <c r="Q627" s="93"/>
      <c r="R627" s="90">
        <v>0</v>
      </c>
      <c r="S627" s="86">
        <f t="shared" si="24"/>
        <v>0</v>
      </c>
    </row>
    <row r="628" spans="3:19" x14ac:dyDescent="0.15">
      <c r="C628" s="52" t="s">
        <v>211</v>
      </c>
      <c r="D628" s="52"/>
      <c r="E628" s="91"/>
      <c r="F628" s="75">
        <f t="shared" si="26"/>
        <v>4000</v>
      </c>
      <c r="G628" s="92"/>
      <c r="H628" s="90">
        <v>0</v>
      </c>
      <c r="I628" s="93"/>
      <c r="J628" s="90">
        <v>0</v>
      </c>
      <c r="K628" s="93"/>
      <c r="L628" s="90">
        <v>4000</v>
      </c>
      <c r="M628" s="93"/>
      <c r="N628" s="90">
        <v>3000</v>
      </c>
      <c r="O628" s="93"/>
      <c r="P628" s="90">
        <v>1000</v>
      </c>
      <c r="Q628" s="93"/>
      <c r="R628" s="90">
        <v>0</v>
      </c>
      <c r="S628" s="86">
        <f t="shared" si="24"/>
        <v>0</v>
      </c>
    </row>
    <row r="629" spans="3:19" x14ac:dyDescent="0.15">
      <c r="C629" s="52" t="s">
        <v>308</v>
      </c>
      <c r="D629" s="52"/>
      <c r="E629" s="91"/>
      <c r="F629" s="75">
        <f t="shared" si="26"/>
        <v>137000</v>
      </c>
      <c r="G629" s="92"/>
      <c r="H629" s="90">
        <v>45000</v>
      </c>
      <c r="I629" s="93"/>
      <c r="J629" s="90">
        <v>91000</v>
      </c>
      <c r="K629" s="93"/>
      <c r="L629" s="90">
        <v>1000</v>
      </c>
      <c r="M629" s="93"/>
      <c r="N629" s="90">
        <v>71000</v>
      </c>
      <c r="O629" s="93"/>
      <c r="P629" s="90">
        <v>66000</v>
      </c>
      <c r="Q629" s="93"/>
      <c r="R629" s="90">
        <v>0</v>
      </c>
      <c r="S629" s="86">
        <f t="shared" si="24"/>
        <v>0</v>
      </c>
    </row>
    <row r="630" spans="3:19" x14ac:dyDescent="0.15">
      <c r="C630" s="52" t="s">
        <v>309</v>
      </c>
      <c r="D630" s="52"/>
      <c r="E630" s="91"/>
      <c r="F630" s="75">
        <f t="shared" si="26"/>
        <v>12730000</v>
      </c>
      <c r="G630" s="92"/>
      <c r="H630" s="90">
        <v>298000</v>
      </c>
      <c r="I630" s="93"/>
      <c r="J630" s="90">
        <v>7504000</v>
      </c>
      <c r="K630" s="93"/>
      <c r="L630" s="90">
        <v>4928000</v>
      </c>
      <c r="M630" s="93"/>
      <c r="N630" s="90">
        <v>4713000</v>
      </c>
      <c r="O630" s="93"/>
      <c r="P630" s="90">
        <v>9026000</v>
      </c>
      <c r="Q630" s="93"/>
      <c r="R630" s="90">
        <v>1009000</v>
      </c>
      <c r="S630" s="86">
        <f t="shared" si="24"/>
        <v>0</v>
      </c>
    </row>
    <row r="631" spans="3:19" x14ac:dyDescent="0.15">
      <c r="C631" s="52" t="s">
        <v>310</v>
      </c>
      <c r="D631" s="52"/>
      <c r="E631" s="91"/>
      <c r="F631" s="75">
        <f t="shared" si="26"/>
        <v>1395000</v>
      </c>
      <c r="G631" s="92"/>
      <c r="H631" s="90">
        <v>103000</v>
      </c>
      <c r="I631" s="93"/>
      <c r="J631" s="90">
        <v>596000</v>
      </c>
      <c r="K631" s="93"/>
      <c r="L631" s="90">
        <v>696000</v>
      </c>
      <c r="M631" s="93"/>
      <c r="N631" s="90">
        <v>959000</v>
      </c>
      <c r="O631" s="93"/>
      <c r="P631" s="90">
        <v>436000</v>
      </c>
      <c r="Q631" s="93"/>
      <c r="R631" s="90">
        <v>0</v>
      </c>
      <c r="S631" s="86">
        <f t="shared" si="24"/>
        <v>0</v>
      </c>
    </row>
    <row r="632" spans="3:19" x14ac:dyDescent="0.15">
      <c r="C632" s="53" t="s">
        <v>275</v>
      </c>
      <c r="F632" s="75">
        <f t="shared" si="26"/>
        <v>70000</v>
      </c>
      <c r="G632" s="92"/>
      <c r="H632" s="90">
        <v>0</v>
      </c>
      <c r="I632" s="93"/>
      <c r="J632" s="90">
        <v>0</v>
      </c>
      <c r="K632" s="93"/>
      <c r="L632" s="90">
        <v>70000</v>
      </c>
      <c r="M632" s="93"/>
      <c r="N632" s="90">
        <v>36000</v>
      </c>
      <c r="O632" s="93"/>
      <c r="P632" s="90">
        <v>34000</v>
      </c>
      <c r="Q632" s="93"/>
      <c r="R632" s="90">
        <v>0</v>
      </c>
      <c r="S632" s="86">
        <f t="shared" si="24"/>
        <v>0</v>
      </c>
    </row>
    <row r="633" spans="3:19" x14ac:dyDescent="0.15">
      <c r="C633" s="52" t="s">
        <v>222</v>
      </c>
      <c r="D633" s="52"/>
      <c r="E633" s="91"/>
      <c r="G633" s="69"/>
      <c r="I633" s="90"/>
      <c r="K633" s="90"/>
      <c r="M633" s="90"/>
      <c r="O633" s="90"/>
      <c r="Q633" s="90"/>
      <c r="S633" s="86">
        <f t="shared" si="24"/>
        <v>0</v>
      </c>
    </row>
    <row r="634" spans="3:19" ht="12" customHeight="1" x14ac:dyDescent="0.15">
      <c r="C634" s="52"/>
      <c r="D634" s="52"/>
      <c r="E634" s="91" t="s">
        <v>51</v>
      </c>
      <c r="F634" s="75">
        <f>SUM(H634:L634)</f>
        <v>117000</v>
      </c>
      <c r="G634" s="92"/>
      <c r="H634" s="90">
        <v>0</v>
      </c>
      <c r="I634" s="93"/>
      <c r="J634" s="90">
        <v>110000</v>
      </c>
      <c r="K634" s="93"/>
      <c r="L634" s="90">
        <v>7000</v>
      </c>
      <c r="M634" s="93"/>
      <c r="N634" s="90">
        <v>0</v>
      </c>
      <c r="O634" s="93"/>
      <c r="P634" s="90">
        <v>117000</v>
      </c>
      <c r="Q634" s="93"/>
      <c r="R634" s="90">
        <v>0</v>
      </c>
      <c r="S634" s="86">
        <f t="shared" si="24"/>
        <v>0</v>
      </c>
    </row>
    <row r="635" spans="3:19" x14ac:dyDescent="0.15">
      <c r="C635" s="52" t="s">
        <v>286</v>
      </c>
      <c r="D635" s="52"/>
      <c r="E635" s="91"/>
      <c r="F635" s="75">
        <f>SUM(H635:L635)</f>
        <v>140000</v>
      </c>
      <c r="G635" s="92"/>
      <c r="H635" s="90">
        <v>0</v>
      </c>
      <c r="I635" s="93"/>
      <c r="J635" s="90">
        <v>119000</v>
      </c>
      <c r="K635" s="93"/>
      <c r="L635" s="90">
        <v>21000</v>
      </c>
      <c r="M635" s="93"/>
      <c r="N635" s="90">
        <v>56000</v>
      </c>
      <c r="O635" s="93"/>
      <c r="P635" s="90">
        <v>84000</v>
      </c>
      <c r="Q635" s="93"/>
      <c r="R635" s="90">
        <v>0</v>
      </c>
      <c r="S635" s="86">
        <f t="shared" si="24"/>
        <v>0</v>
      </c>
    </row>
    <row r="636" spans="3:19" x14ac:dyDescent="0.15">
      <c r="C636" s="52" t="s">
        <v>287</v>
      </c>
      <c r="D636" s="52"/>
      <c r="E636" s="91"/>
      <c r="G636" s="69"/>
      <c r="H636" s="90"/>
      <c r="I636" s="90"/>
      <c r="J636" s="90"/>
      <c r="K636" s="90"/>
      <c r="L636" s="90"/>
      <c r="M636" s="90"/>
      <c r="N636" s="90"/>
      <c r="O636" s="90"/>
      <c r="P636" s="90"/>
      <c r="Q636" s="90"/>
      <c r="R636" s="90"/>
      <c r="S636" s="86">
        <f t="shared" si="24"/>
        <v>0</v>
      </c>
    </row>
    <row r="637" spans="3:19" x14ac:dyDescent="0.15">
      <c r="C637" s="52"/>
      <c r="D637" s="52"/>
      <c r="E637" s="91" t="s">
        <v>288</v>
      </c>
      <c r="F637" s="75">
        <f t="shared" ref="F637:F649" si="27">SUM(H637:L637)</f>
        <v>1337000</v>
      </c>
      <c r="G637" s="92"/>
      <c r="H637" s="90">
        <v>0</v>
      </c>
      <c r="I637" s="93"/>
      <c r="J637" s="90">
        <v>12000</v>
      </c>
      <c r="K637" s="93"/>
      <c r="L637" s="90">
        <v>1325000</v>
      </c>
      <c r="M637" s="93"/>
      <c r="N637" s="90">
        <f>393000+1000</f>
        <v>394000</v>
      </c>
      <c r="O637" s="93"/>
      <c r="P637" s="90">
        <v>943000</v>
      </c>
      <c r="Q637" s="93"/>
      <c r="R637" s="90">
        <v>0</v>
      </c>
      <c r="S637" s="86">
        <f t="shared" si="24"/>
        <v>0</v>
      </c>
    </row>
    <row r="638" spans="3:19" x14ac:dyDescent="0.15">
      <c r="C638" s="52" t="s">
        <v>228</v>
      </c>
      <c r="D638" s="52"/>
      <c r="E638" s="91"/>
      <c r="F638" s="75">
        <f t="shared" si="27"/>
        <v>953000</v>
      </c>
      <c r="G638" s="92"/>
      <c r="H638" s="90">
        <v>0</v>
      </c>
      <c r="I638" s="93"/>
      <c r="J638" s="90">
        <v>546000</v>
      </c>
      <c r="K638" s="93"/>
      <c r="L638" s="90">
        <v>407000</v>
      </c>
      <c r="M638" s="93"/>
      <c r="N638" s="90">
        <v>481000</v>
      </c>
      <c r="O638" s="93"/>
      <c r="P638" s="90">
        <v>472000</v>
      </c>
      <c r="Q638" s="93"/>
      <c r="R638" s="90">
        <v>0</v>
      </c>
      <c r="S638" s="86">
        <f t="shared" si="24"/>
        <v>0</v>
      </c>
    </row>
    <row r="639" spans="3:19" x14ac:dyDescent="0.15">
      <c r="C639" s="52" t="s">
        <v>231</v>
      </c>
      <c r="D639" s="52"/>
      <c r="E639" s="91"/>
      <c r="F639" s="75">
        <f t="shared" si="27"/>
        <v>21636000</v>
      </c>
      <c r="G639" s="92"/>
      <c r="H639" s="90">
        <v>981000</v>
      </c>
      <c r="I639" s="93"/>
      <c r="J639" s="90">
        <v>12657000</v>
      </c>
      <c r="K639" s="93"/>
      <c r="L639" s="90">
        <v>7998000</v>
      </c>
      <c r="M639" s="93"/>
      <c r="N639" s="90">
        <v>12234000</v>
      </c>
      <c r="O639" s="93"/>
      <c r="P639" s="90">
        <v>9402000</v>
      </c>
      <c r="Q639" s="93"/>
      <c r="R639" s="90">
        <v>0</v>
      </c>
      <c r="S639" s="86">
        <f t="shared" si="24"/>
        <v>0</v>
      </c>
    </row>
    <row r="640" spans="3:19" x14ac:dyDescent="0.15">
      <c r="C640" s="52" t="s">
        <v>314</v>
      </c>
      <c r="D640" s="52"/>
      <c r="E640" s="91"/>
      <c r="F640" s="75">
        <f t="shared" si="27"/>
        <v>-109000</v>
      </c>
      <c r="G640" s="92"/>
      <c r="H640" s="90">
        <v>0</v>
      </c>
      <c r="I640" s="93"/>
      <c r="J640" s="90">
        <v>-109000</v>
      </c>
      <c r="K640" s="93"/>
      <c r="L640" s="90">
        <v>0</v>
      </c>
      <c r="M640" s="93"/>
      <c r="N640" s="90">
        <v>0</v>
      </c>
      <c r="O640" s="93"/>
      <c r="P640" s="90">
        <v>0</v>
      </c>
      <c r="Q640" s="93"/>
      <c r="R640" s="90">
        <v>109000</v>
      </c>
      <c r="S640" s="86">
        <f t="shared" si="24"/>
        <v>0</v>
      </c>
    </row>
    <row r="641" spans="1:19" x14ac:dyDescent="0.15">
      <c r="C641" s="52" t="s">
        <v>315</v>
      </c>
      <c r="D641" s="52"/>
      <c r="E641" s="91"/>
      <c r="F641" s="75">
        <f t="shared" si="27"/>
        <v>222000</v>
      </c>
      <c r="G641" s="92"/>
      <c r="H641" s="90">
        <v>0</v>
      </c>
      <c r="I641" s="93"/>
      <c r="J641" s="90">
        <v>2000</v>
      </c>
      <c r="K641" s="93"/>
      <c r="L641" s="90">
        <v>220000</v>
      </c>
      <c r="M641" s="93"/>
      <c r="N641" s="90">
        <v>142000</v>
      </c>
      <c r="O641" s="93"/>
      <c r="P641" s="90">
        <v>80000</v>
      </c>
      <c r="Q641" s="93"/>
      <c r="R641" s="90">
        <v>0</v>
      </c>
      <c r="S641" s="86">
        <f t="shared" si="24"/>
        <v>0</v>
      </c>
    </row>
    <row r="642" spans="1:19" x14ac:dyDescent="0.15">
      <c r="C642" s="52" t="s">
        <v>528</v>
      </c>
      <c r="D642" s="52"/>
      <c r="E642" s="91"/>
      <c r="F642" s="75">
        <f t="shared" si="27"/>
        <v>5000</v>
      </c>
      <c r="G642" s="92"/>
      <c r="H642" s="90">
        <v>0</v>
      </c>
      <c r="I642" s="93"/>
      <c r="J642" s="90">
        <v>0</v>
      </c>
      <c r="K642" s="93"/>
      <c r="L642" s="90">
        <v>5000</v>
      </c>
      <c r="M642" s="93"/>
      <c r="N642" s="90">
        <v>5000</v>
      </c>
      <c r="O642" s="93"/>
      <c r="P642" s="90">
        <v>0</v>
      </c>
      <c r="Q642" s="93"/>
      <c r="R642" s="90">
        <v>0</v>
      </c>
      <c r="S642" s="86">
        <f t="shared" si="24"/>
        <v>0</v>
      </c>
    </row>
    <row r="643" spans="1:19" x14ac:dyDescent="0.15">
      <c r="C643" s="52" t="s">
        <v>316</v>
      </c>
      <c r="D643" s="52"/>
      <c r="E643" s="91"/>
      <c r="F643" s="75">
        <f t="shared" si="27"/>
        <v>748000</v>
      </c>
      <c r="G643" s="92"/>
      <c r="H643" s="90">
        <v>0</v>
      </c>
      <c r="I643" s="93"/>
      <c r="J643" s="90">
        <v>581000</v>
      </c>
      <c r="K643" s="93"/>
      <c r="L643" s="90">
        <v>167000</v>
      </c>
      <c r="M643" s="93"/>
      <c r="N643" s="90">
        <v>446000</v>
      </c>
      <c r="O643" s="93"/>
      <c r="P643" s="90">
        <v>302000</v>
      </c>
      <c r="Q643" s="93"/>
      <c r="R643" s="90">
        <v>0</v>
      </c>
      <c r="S643" s="86">
        <f t="shared" si="24"/>
        <v>0</v>
      </c>
    </row>
    <row r="644" spans="1:19" x14ac:dyDescent="0.15">
      <c r="C644" s="52" t="s">
        <v>234</v>
      </c>
      <c r="D644" s="52"/>
      <c r="E644" s="91"/>
      <c r="F644" s="75">
        <f t="shared" si="27"/>
        <v>780000</v>
      </c>
      <c r="G644" s="92"/>
      <c r="H644" s="90">
        <v>-6715000</v>
      </c>
      <c r="I644" s="93"/>
      <c r="J644" s="90">
        <v>7306000</v>
      </c>
      <c r="K644" s="93"/>
      <c r="L644" s="90">
        <v>189000</v>
      </c>
      <c r="M644" s="93"/>
      <c r="N644" s="90">
        <f>352000</f>
        <v>352000</v>
      </c>
      <c r="O644" s="93"/>
      <c r="P644" s="90">
        <f>430000+1000</f>
        <v>431000</v>
      </c>
      <c r="Q644" s="93"/>
      <c r="R644" s="90">
        <v>3000</v>
      </c>
      <c r="S644" s="86">
        <f t="shared" si="24"/>
        <v>0</v>
      </c>
    </row>
    <row r="645" spans="1:19" x14ac:dyDescent="0.15">
      <c r="C645" s="52" t="s">
        <v>236</v>
      </c>
      <c r="D645" s="52"/>
      <c r="E645" s="91"/>
      <c r="F645" s="75">
        <f t="shared" si="27"/>
        <v>1785000</v>
      </c>
      <c r="G645" s="92"/>
      <c r="H645" s="90">
        <v>0</v>
      </c>
      <c r="I645" s="93"/>
      <c r="J645" s="90">
        <v>0</v>
      </c>
      <c r="K645" s="93"/>
      <c r="L645" s="90">
        <v>1785000</v>
      </c>
      <c r="M645" s="93"/>
      <c r="N645" s="90">
        <f>745000-1000</f>
        <v>744000</v>
      </c>
      <c r="O645" s="93"/>
      <c r="P645" s="90">
        <v>1041000</v>
      </c>
      <c r="Q645" s="93"/>
      <c r="R645" s="90">
        <v>0</v>
      </c>
      <c r="S645" s="86">
        <f t="shared" si="24"/>
        <v>0</v>
      </c>
    </row>
    <row r="646" spans="1:19" x14ac:dyDescent="0.15">
      <c r="C646" s="52" t="s">
        <v>318</v>
      </c>
      <c r="D646" s="52"/>
      <c r="E646" s="91"/>
      <c r="F646" s="75">
        <f t="shared" si="27"/>
        <v>725000</v>
      </c>
      <c r="G646" s="92"/>
      <c r="H646" s="90">
        <v>-1000</v>
      </c>
      <c r="I646" s="93"/>
      <c r="J646" s="90">
        <v>630000</v>
      </c>
      <c r="K646" s="93"/>
      <c r="L646" s="90">
        <v>96000</v>
      </c>
      <c r="M646" s="93"/>
      <c r="N646" s="90">
        <v>360000</v>
      </c>
      <c r="O646" s="93"/>
      <c r="P646" s="90">
        <v>366000</v>
      </c>
      <c r="Q646" s="93"/>
      <c r="R646" s="90">
        <v>1000</v>
      </c>
      <c r="S646" s="86">
        <f t="shared" si="24"/>
        <v>0</v>
      </c>
    </row>
    <row r="647" spans="1:19" x14ac:dyDescent="0.15">
      <c r="C647" s="52" t="s">
        <v>240</v>
      </c>
      <c r="D647" s="52"/>
      <c r="E647" s="91"/>
      <c r="F647" s="75">
        <f t="shared" si="27"/>
        <v>140000</v>
      </c>
      <c r="G647" s="92"/>
      <c r="H647" s="90">
        <v>0</v>
      </c>
      <c r="I647" s="93"/>
      <c r="J647" s="90">
        <v>132000</v>
      </c>
      <c r="K647" s="93"/>
      <c r="L647" s="90">
        <v>8000</v>
      </c>
      <c r="M647" s="93"/>
      <c r="N647" s="90">
        <v>61000</v>
      </c>
      <c r="O647" s="93"/>
      <c r="P647" s="90">
        <v>79000</v>
      </c>
      <c r="Q647" s="93"/>
      <c r="R647" s="90">
        <v>0</v>
      </c>
      <c r="S647" s="86">
        <f t="shared" si="24"/>
        <v>0</v>
      </c>
    </row>
    <row r="648" spans="1:19" x14ac:dyDescent="0.15">
      <c r="A648" s="53" t="s">
        <v>22</v>
      </c>
      <c r="C648" s="52" t="s">
        <v>319</v>
      </c>
      <c r="F648" s="75">
        <f t="shared" si="27"/>
        <v>434000</v>
      </c>
      <c r="G648" s="92"/>
      <c r="H648" s="90">
        <v>0</v>
      </c>
      <c r="I648" s="93"/>
      <c r="J648" s="90">
        <v>145000</v>
      </c>
      <c r="K648" s="93"/>
      <c r="L648" s="90">
        <v>289000</v>
      </c>
      <c r="M648" s="93"/>
      <c r="N648" s="90">
        <v>0</v>
      </c>
      <c r="O648" s="93"/>
      <c r="P648" s="90">
        <v>434000</v>
      </c>
      <c r="Q648" s="93"/>
      <c r="R648" s="90">
        <v>0</v>
      </c>
      <c r="S648" s="86">
        <f t="shared" ref="S648:S711" si="28">+F648-N648-P648+R648</f>
        <v>0</v>
      </c>
    </row>
    <row r="649" spans="1:19" x14ac:dyDescent="0.15">
      <c r="C649" s="52" t="s">
        <v>244</v>
      </c>
      <c r="D649" s="52"/>
      <c r="E649" s="91"/>
      <c r="F649" s="94">
        <f t="shared" si="27"/>
        <v>-285000</v>
      </c>
      <c r="G649" s="69"/>
      <c r="H649" s="95">
        <v>-106000</v>
      </c>
      <c r="I649" s="90"/>
      <c r="J649" s="95">
        <f>-111000+1000</f>
        <v>-110000</v>
      </c>
      <c r="K649" s="90"/>
      <c r="L649" s="95">
        <f>-67000-2000</f>
        <v>-69000</v>
      </c>
      <c r="M649" s="90"/>
      <c r="N649" s="95">
        <f>-268000-2000</f>
        <v>-270000</v>
      </c>
      <c r="O649" s="90"/>
      <c r="P649" s="95">
        <v>-15000</v>
      </c>
      <c r="Q649" s="90"/>
      <c r="R649" s="95">
        <v>0</v>
      </c>
      <c r="S649" s="86">
        <f t="shared" si="28"/>
        <v>0</v>
      </c>
    </row>
    <row r="650" spans="1:19" x14ac:dyDescent="0.15">
      <c r="B650" s="7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86">
        <f t="shared" si="28"/>
        <v>0</v>
      </c>
    </row>
    <row r="651" spans="1:19" x14ac:dyDescent="0.15">
      <c r="E651" s="52" t="s">
        <v>3</v>
      </c>
      <c r="F651" s="94">
        <f>SUM(H651:L651)</f>
        <v>62333000</v>
      </c>
      <c r="G651" s="69"/>
      <c r="H651" s="94">
        <f>SUM(H624:H650)</f>
        <v>-1844000</v>
      </c>
      <c r="I651" s="75"/>
      <c r="J651" s="94">
        <f>SUM(J624:J650)</f>
        <v>37442000</v>
      </c>
      <c r="K651" s="75"/>
      <c r="L651" s="94">
        <f>SUM(L624:L650)</f>
        <v>26735000</v>
      </c>
      <c r="M651" s="75"/>
      <c r="N651" s="94">
        <f>SUM(N624:N650)</f>
        <v>30239000</v>
      </c>
      <c r="O651" s="75"/>
      <c r="P651" s="94">
        <f>SUM(P624:P650)</f>
        <v>33235000</v>
      </c>
      <c r="Q651" s="75"/>
      <c r="R651" s="94">
        <f>SUM(R624:R650)</f>
        <v>1141000</v>
      </c>
      <c r="S651" s="86">
        <f t="shared" si="28"/>
        <v>0</v>
      </c>
    </row>
    <row r="652" spans="1:19" x14ac:dyDescent="0.15">
      <c r="A652" s="88"/>
      <c r="B652" s="88"/>
      <c r="C652" s="88"/>
      <c r="D652" s="88"/>
      <c r="E652" s="88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86">
        <f t="shared" si="28"/>
        <v>0</v>
      </c>
    </row>
    <row r="653" spans="1:19" x14ac:dyDescent="0.15">
      <c r="B653" s="53" t="s">
        <v>29</v>
      </c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86">
        <f t="shared" si="28"/>
        <v>0</v>
      </c>
    </row>
    <row r="654" spans="1:19" x14ac:dyDescent="0.15">
      <c r="C654" s="52" t="s">
        <v>320</v>
      </c>
      <c r="D654" s="52"/>
      <c r="E654" s="91"/>
      <c r="F654" s="75">
        <f>SUM(H654:L654)</f>
        <v>156000</v>
      </c>
      <c r="G654" s="92"/>
      <c r="H654" s="90">
        <v>156000</v>
      </c>
      <c r="I654" s="93"/>
      <c r="J654" s="90">
        <v>0</v>
      </c>
      <c r="K654" s="93"/>
      <c r="L654" s="90">
        <v>0</v>
      </c>
      <c r="M654" s="93"/>
      <c r="N654" s="90">
        <v>143000</v>
      </c>
      <c r="O654" s="93"/>
      <c r="P654" s="90">
        <v>13000</v>
      </c>
      <c r="Q654" s="93"/>
      <c r="R654" s="90">
        <v>0</v>
      </c>
      <c r="S654" s="86">
        <f t="shared" si="28"/>
        <v>0</v>
      </c>
    </row>
    <row r="655" spans="1:19" x14ac:dyDescent="0.15">
      <c r="C655" s="52" t="s">
        <v>527</v>
      </c>
      <c r="D655" s="52"/>
      <c r="E655" s="91"/>
      <c r="F655" s="75">
        <f>SUM(H655:L655)</f>
        <v>-17000</v>
      </c>
      <c r="G655" s="92"/>
      <c r="H655" s="90">
        <v>-17000</v>
      </c>
      <c r="I655" s="93"/>
      <c r="J655" s="90">
        <v>0</v>
      </c>
      <c r="K655" s="93"/>
      <c r="L655" s="90">
        <v>0</v>
      </c>
      <c r="M655" s="93"/>
      <c r="N655" s="90">
        <v>-12000</v>
      </c>
      <c r="O655" s="93"/>
      <c r="P655" s="90">
        <v>-5000</v>
      </c>
      <c r="Q655" s="93"/>
      <c r="R655" s="90">
        <v>0</v>
      </c>
      <c r="S655" s="86">
        <f t="shared" si="28"/>
        <v>0</v>
      </c>
    </row>
    <row r="656" spans="1:19" x14ac:dyDescent="0.15">
      <c r="C656" s="52" t="s">
        <v>307</v>
      </c>
      <c r="D656" s="52"/>
      <c r="E656" s="91"/>
      <c r="F656" s="75">
        <f>SUM(H656:L656)</f>
        <v>354000</v>
      </c>
      <c r="G656" s="92"/>
      <c r="H656" s="90">
        <v>354000</v>
      </c>
      <c r="I656" s="93"/>
      <c r="J656" s="90">
        <v>0</v>
      </c>
      <c r="K656" s="93"/>
      <c r="L656" s="90">
        <v>0</v>
      </c>
      <c r="M656" s="93"/>
      <c r="N656" s="90">
        <v>249000</v>
      </c>
      <c r="O656" s="93"/>
      <c r="P656" s="90">
        <v>105000</v>
      </c>
      <c r="Q656" s="93"/>
      <c r="R656" s="90">
        <v>0</v>
      </c>
      <c r="S656" s="86">
        <f t="shared" si="28"/>
        <v>0</v>
      </c>
    </row>
    <row r="657" spans="2:19" x14ac:dyDescent="0.15">
      <c r="C657" s="52" t="s">
        <v>322</v>
      </c>
      <c r="D657" s="52"/>
      <c r="E657" s="91"/>
      <c r="F657" s="75">
        <f>SUM(H657:L657)</f>
        <v>958000</v>
      </c>
      <c r="G657" s="92"/>
      <c r="H657" s="90">
        <v>446000</v>
      </c>
      <c r="I657" s="93"/>
      <c r="J657" s="90">
        <v>512000</v>
      </c>
      <c r="K657" s="93"/>
      <c r="L657" s="90">
        <v>0</v>
      </c>
      <c r="M657" s="93"/>
      <c r="N657" s="90">
        <v>658000</v>
      </c>
      <c r="O657" s="93"/>
      <c r="P657" s="90">
        <v>300000</v>
      </c>
      <c r="Q657" s="93"/>
      <c r="R657" s="90">
        <v>0</v>
      </c>
      <c r="S657" s="86">
        <f t="shared" si="28"/>
        <v>0</v>
      </c>
    </row>
    <row r="658" spans="2:19" x14ac:dyDescent="0.15">
      <c r="C658" s="52" t="s">
        <v>323</v>
      </c>
      <c r="D658" s="52"/>
      <c r="E658" s="91"/>
      <c r="F658" s="75">
        <f>SUM(H658:L658)</f>
        <v>5294000</v>
      </c>
      <c r="G658" s="92"/>
      <c r="H658" s="90">
        <v>3012000</v>
      </c>
      <c r="I658" s="93"/>
      <c r="J658" s="90">
        <v>2282000</v>
      </c>
      <c r="K658" s="93"/>
      <c r="L658" s="90">
        <v>0</v>
      </c>
      <c r="M658" s="93"/>
      <c r="N658" s="90">
        <v>3211000</v>
      </c>
      <c r="O658" s="93"/>
      <c r="P658" s="90">
        <v>3350000</v>
      </c>
      <c r="Q658" s="93"/>
      <c r="R658" s="90">
        <v>1267000</v>
      </c>
      <c r="S658" s="86">
        <f t="shared" si="28"/>
        <v>0</v>
      </c>
    </row>
    <row r="659" spans="2:19" x14ac:dyDescent="0.15">
      <c r="C659" s="52" t="s">
        <v>324</v>
      </c>
      <c r="D659" s="52"/>
      <c r="E659" s="91"/>
      <c r="S659" s="86">
        <f t="shared" si="28"/>
        <v>0</v>
      </c>
    </row>
    <row r="660" spans="2:19" x14ac:dyDescent="0.15">
      <c r="C660" s="52"/>
      <c r="D660" s="52"/>
      <c r="E660" s="91" t="s">
        <v>51</v>
      </c>
      <c r="F660" s="75">
        <f t="shared" ref="F660:F671" si="29">SUM(H660:L660)</f>
        <v>349000</v>
      </c>
      <c r="G660" s="92"/>
      <c r="H660" s="90">
        <v>0</v>
      </c>
      <c r="I660" s="93"/>
      <c r="J660" s="90">
        <v>350000</v>
      </c>
      <c r="K660" s="93"/>
      <c r="L660" s="90">
        <v>-1000</v>
      </c>
      <c r="M660" s="93"/>
      <c r="N660" s="90">
        <v>640000</v>
      </c>
      <c r="O660" s="93"/>
      <c r="P660" s="90">
        <v>3340000</v>
      </c>
      <c r="Q660" s="93"/>
      <c r="R660" s="90">
        <v>3631000</v>
      </c>
      <c r="S660" s="86">
        <f t="shared" si="28"/>
        <v>0</v>
      </c>
    </row>
    <row r="661" spans="2:19" x14ac:dyDescent="0.15">
      <c r="C661" s="52" t="s">
        <v>325</v>
      </c>
      <c r="D661" s="52"/>
      <c r="E661" s="91"/>
      <c r="F661" s="75">
        <f t="shared" si="29"/>
        <v>340000</v>
      </c>
      <c r="G661" s="92"/>
      <c r="H661" s="90">
        <v>145000</v>
      </c>
      <c r="I661" s="93"/>
      <c r="J661" s="90">
        <v>187000</v>
      </c>
      <c r="K661" s="93"/>
      <c r="L661" s="90">
        <v>8000</v>
      </c>
      <c r="M661" s="93"/>
      <c r="N661" s="90">
        <v>209000</v>
      </c>
      <c r="O661" s="93"/>
      <c r="P661" s="90">
        <v>131000</v>
      </c>
      <c r="Q661" s="93"/>
      <c r="R661" s="90">
        <v>0</v>
      </c>
      <c r="S661" s="86">
        <f t="shared" si="28"/>
        <v>0</v>
      </c>
    </row>
    <row r="662" spans="2:19" x14ac:dyDescent="0.15">
      <c r="C662" s="52" t="s">
        <v>216</v>
      </c>
      <c r="D662" s="52"/>
      <c r="E662" s="91"/>
      <c r="F662" s="75">
        <f t="shared" si="29"/>
        <v>309000</v>
      </c>
      <c r="G662" s="92"/>
      <c r="H662" s="90">
        <v>141000</v>
      </c>
      <c r="I662" s="93"/>
      <c r="J662" s="90">
        <v>168000</v>
      </c>
      <c r="K662" s="93"/>
      <c r="L662" s="90">
        <v>0</v>
      </c>
      <c r="M662" s="93"/>
      <c r="N662" s="90">
        <v>219000</v>
      </c>
      <c r="O662" s="93"/>
      <c r="P662" s="90">
        <v>90000</v>
      </c>
      <c r="Q662" s="93"/>
      <c r="R662" s="90">
        <v>0</v>
      </c>
      <c r="S662" s="86">
        <f t="shared" si="28"/>
        <v>0</v>
      </c>
    </row>
    <row r="663" spans="2:19" x14ac:dyDescent="0.15">
      <c r="C663" s="52" t="s">
        <v>326</v>
      </c>
      <c r="D663" s="52"/>
      <c r="E663" s="91"/>
      <c r="F663" s="75">
        <f t="shared" si="29"/>
        <v>874000</v>
      </c>
      <c r="G663" s="92"/>
      <c r="H663" s="90">
        <v>1547000</v>
      </c>
      <c r="I663" s="93"/>
      <c r="J663" s="90">
        <v>-673000</v>
      </c>
      <c r="K663" s="93"/>
      <c r="L663" s="90">
        <v>0</v>
      </c>
      <c r="M663" s="93"/>
      <c r="N663" s="90">
        <v>3433000</v>
      </c>
      <c r="O663" s="93"/>
      <c r="P663" s="90">
        <v>6278000</v>
      </c>
      <c r="Q663" s="93"/>
      <c r="R663" s="90">
        <v>8837000</v>
      </c>
      <c r="S663" s="86">
        <f t="shared" si="28"/>
        <v>0</v>
      </c>
    </row>
    <row r="664" spans="2:19" x14ac:dyDescent="0.15">
      <c r="C664" s="52" t="s">
        <v>327</v>
      </c>
      <c r="D664" s="52"/>
      <c r="E664" s="91"/>
      <c r="F664" s="75">
        <f t="shared" si="29"/>
        <v>9001000</v>
      </c>
      <c r="G664" s="92"/>
      <c r="H664" s="90">
        <v>9719000</v>
      </c>
      <c r="I664" s="93"/>
      <c r="J664" s="90">
        <v>-718000</v>
      </c>
      <c r="K664" s="93"/>
      <c r="L664" s="90">
        <v>0</v>
      </c>
      <c r="M664" s="93"/>
      <c r="N664" s="90">
        <v>2992000</v>
      </c>
      <c r="O664" s="93"/>
      <c r="P664" s="90">
        <f>16226000+1000</f>
        <v>16227000</v>
      </c>
      <c r="Q664" s="93"/>
      <c r="R664" s="90">
        <v>10218000</v>
      </c>
      <c r="S664" s="86">
        <f t="shared" si="28"/>
        <v>0</v>
      </c>
    </row>
    <row r="665" spans="2:19" x14ac:dyDescent="0.15">
      <c r="C665" s="52" t="s">
        <v>526</v>
      </c>
      <c r="D665" s="52"/>
      <c r="E665" s="91"/>
      <c r="F665" s="75">
        <f t="shared" si="29"/>
        <v>7109000</v>
      </c>
      <c r="G665" s="92"/>
      <c r="H665" s="90">
        <f>749000+380000</f>
        <v>1129000</v>
      </c>
      <c r="I665" s="93"/>
      <c r="J665" s="90">
        <f>2725000+2999000</f>
        <v>5724000</v>
      </c>
      <c r="K665" s="93"/>
      <c r="L665" s="90">
        <f>94000+162000</f>
        <v>256000</v>
      </c>
      <c r="M665" s="93"/>
      <c r="N665" s="90">
        <f>2278000+2028000</f>
        <v>4306000</v>
      </c>
      <c r="O665" s="93"/>
      <c r="P665" s="90">
        <f>1703000+1513000</f>
        <v>3216000</v>
      </c>
      <c r="Q665" s="93"/>
      <c r="R665" s="90">
        <f>414000-1000</f>
        <v>413000</v>
      </c>
      <c r="S665" s="86">
        <f t="shared" si="28"/>
        <v>0</v>
      </c>
    </row>
    <row r="666" spans="2:19" x14ac:dyDescent="0.15">
      <c r="C666" s="52" t="s">
        <v>219</v>
      </c>
      <c r="D666" s="52"/>
      <c r="E666" s="91"/>
      <c r="F666" s="75">
        <f t="shared" si="29"/>
        <v>313000</v>
      </c>
      <c r="G666" s="92"/>
      <c r="H666" s="90">
        <v>282000</v>
      </c>
      <c r="I666" s="93"/>
      <c r="J666" s="90">
        <v>4000</v>
      </c>
      <c r="K666" s="93"/>
      <c r="L666" s="90">
        <v>27000</v>
      </c>
      <c r="M666" s="93"/>
      <c r="N666" s="90">
        <f>203000+1000</f>
        <v>204000</v>
      </c>
      <c r="O666" s="93"/>
      <c r="P666" s="90">
        <v>109000</v>
      </c>
      <c r="Q666" s="93"/>
      <c r="R666" s="90">
        <v>0</v>
      </c>
      <c r="S666" s="86">
        <f t="shared" si="28"/>
        <v>0</v>
      </c>
    </row>
    <row r="667" spans="2:19" x14ac:dyDescent="0.15">
      <c r="C667" s="52" t="s">
        <v>220</v>
      </c>
      <c r="D667" s="52"/>
      <c r="E667" s="91"/>
      <c r="F667" s="75">
        <f t="shared" si="29"/>
        <v>272000</v>
      </c>
      <c r="G667" s="92"/>
      <c r="H667" s="90">
        <v>106000</v>
      </c>
      <c r="I667" s="93"/>
      <c r="J667" s="90">
        <v>60000</v>
      </c>
      <c r="K667" s="93"/>
      <c r="L667" s="90">
        <v>106000</v>
      </c>
      <c r="M667" s="93"/>
      <c r="N667" s="90">
        <f>387000-1000</f>
        <v>386000</v>
      </c>
      <c r="O667" s="93"/>
      <c r="P667" s="90">
        <v>399000</v>
      </c>
      <c r="Q667" s="93"/>
      <c r="R667" s="90">
        <v>513000</v>
      </c>
      <c r="S667" s="86">
        <f t="shared" si="28"/>
        <v>0</v>
      </c>
    </row>
    <row r="668" spans="2:19" x14ac:dyDescent="0.15">
      <c r="C668" s="52" t="s">
        <v>332</v>
      </c>
      <c r="F668" s="75">
        <f t="shared" si="29"/>
        <v>60947000</v>
      </c>
      <c r="G668" s="92"/>
      <c r="H668" s="90">
        <v>41205000</v>
      </c>
      <c r="I668" s="93"/>
      <c r="J668" s="90">
        <v>4803000</v>
      </c>
      <c r="K668" s="93"/>
      <c r="L668" s="90">
        <v>14939000</v>
      </c>
      <c r="M668" s="93"/>
      <c r="N668" s="90">
        <v>25876000</v>
      </c>
      <c r="O668" s="93"/>
      <c r="P668" s="90">
        <v>35071000</v>
      </c>
      <c r="Q668" s="93"/>
      <c r="R668" s="90">
        <v>0</v>
      </c>
      <c r="S668" s="86">
        <f t="shared" si="28"/>
        <v>0</v>
      </c>
    </row>
    <row r="669" spans="2:19" x14ac:dyDescent="0.15">
      <c r="B669" s="79"/>
      <c r="C669" s="52" t="s">
        <v>525</v>
      </c>
      <c r="D669" s="52"/>
      <c r="E669" s="91"/>
      <c r="F669" s="75">
        <f t="shared" si="29"/>
        <v>52000</v>
      </c>
      <c r="G669" s="92"/>
      <c r="H669" s="90">
        <v>52000</v>
      </c>
      <c r="I669" s="93"/>
      <c r="J669" s="90">
        <v>0</v>
      </c>
      <c r="K669" s="93"/>
      <c r="L669" s="90">
        <v>0</v>
      </c>
      <c r="M669" s="93"/>
      <c r="N669" s="90">
        <v>37000</v>
      </c>
      <c r="O669" s="93"/>
      <c r="P669" s="90">
        <v>15000</v>
      </c>
      <c r="Q669" s="93"/>
      <c r="R669" s="90">
        <v>0</v>
      </c>
      <c r="S669" s="86">
        <f t="shared" si="28"/>
        <v>0</v>
      </c>
    </row>
    <row r="670" spans="2:19" x14ac:dyDescent="0.15">
      <c r="C670" s="52" t="s">
        <v>232</v>
      </c>
      <c r="D670" s="52"/>
      <c r="E670" s="91"/>
      <c r="F670" s="75">
        <f t="shared" si="29"/>
        <v>1016000</v>
      </c>
      <c r="G670" s="92"/>
      <c r="H670" s="90">
        <f>583000+1000</f>
        <v>584000</v>
      </c>
      <c r="I670" s="93"/>
      <c r="J670" s="90">
        <v>14000</v>
      </c>
      <c r="K670" s="93"/>
      <c r="L670" s="90">
        <v>418000</v>
      </c>
      <c r="M670" s="93"/>
      <c r="N670" s="90">
        <v>618000</v>
      </c>
      <c r="O670" s="93"/>
      <c r="P670" s="90">
        <v>399000</v>
      </c>
      <c r="Q670" s="93"/>
      <c r="R670" s="90">
        <v>1000</v>
      </c>
      <c r="S670" s="86">
        <f t="shared" si="28"/>
        <v>0</v>
      </c>
    </row>
    <row r="671" spans="2:19" x14ac:dyDescent="0.15">
      <c r="C671" s="52" t="s">
        <v>233</v>
      </c>
      <c r="D671" s="52"/>
      <c r="E671" s="91"/>
      <c r="F671" s="75">
        <f t="shared" si="29"/>
        <v>1555000</v>
      </c>
      <c r="G671" s="92"/>
      <c r="H671" s="90">
        <v>953000</v>
      </c>
      <c r="I671" s="93"/>
      <c r="J671" s="90">
        <f>44000-1000</f>
        <v>43000</v>
      </c>
      <c r="K671" s="93"/>
      <c r="L671" s="90">
        <v>559000</v>
      </c>
      <c r="M671" s="93"/>
      <c r="N671" s="90">
        <v>988000</v>
      </c>
      <c r="O671" s="93"/>
      <c r="P671" s="90">
        <v>575000</v>
      </c>
      <c r="Q671" s="93"/>
      <c r="R671" s="90">
        <v>8000</v>
      </c>
      <c r="S671" s="86">
        <f t="shared" si="28"/>
        <v>0</v>
      </c>
    </row>
    <row r="672" spans="2:19" x14ac:dyDescent="0.15">
      <c r="C672" s="52" t="s">
        <v>333</v>
      </c>
      <c r="D672" s="52"/>
      <c r="E672" s="91"/>
      <c r="G672" s="69"/>
      <c r="H672" s="90"/>
      <c r="I672" s="90"/>
      <c r="J672" s="90"/>
      <c r="K672" s="90"/>
      <c r="L672" s="90"/>
      <c r="M672" s="90"/>
      <c r="N672" s="90"/>
      <c r="O672" s="90"/>
      <c r="P672" s="90"/>
      <c r="Q672" s="90"/>
      <c r="R672" s="90"/>
      <c r="S672" s="86">
        <f t="shared" si="28"/>
        <v>0</v>
      </c>
    </row>
    <row r="673" spans="3:19" x14ac:dyDescent="0.15">
      <c r="C673" s="86"/>
      <c r="D673" s="52"/>
      <c r="E673" s="91" t="s">
        <v>334</v>
      </c>
      <c r="F673" s="75">
        <f>SUM(H673:L673)</f>
        <v>62000</v>
      </c>
      <c r="G673" s="92"/>
      <c r="H673" s="90">
        <v>30000</v>
      </c>
      <c r="I673" s="93"/>
      <c r="J673" s="90">
        <v>22000</v>
      </c>
      <c r="K673" s="93"/>
      <c r="L673" s="90">
        <v>10000</v>
      </c>
      <c r="M673" s="93"/>
      <c r="N673" s="90">
        <v>47000</v>
      </c>
      <c r="O673" s="93"/>
      <c r="P673" s="90">
        <v>15000</v>
      </c>
      <c r="Q673" s="93"/>
      <c r="R673" s="90">
        <v>0</v>
      </c>
      <c r="S673" s="86">
        <f t="shared" si="28"/>
        <v>0</v>
      </c>
    </row>
    <row r="674" spans="3:19" x14ac:dyDescent="0.15">
      <c r="C674" s="52" t="s">
        <v>335</v>
      </c>
      <c r="D674" s="52"/>
      <c r="E674" s="91"/>
      <c r="F674" s="75">
        <f>SUM(H674:L674)</f>
        <v>2938000</v>
      </c>
      <c r="G674" s="92"/>
      <c r="H674" s="90">
        <v>3237000</v>
      </c>
      <c r="I674" s="93"/>
      <c r="J674" s="90">
        <v>-306000</v>
      </c>
      <c r="K674" s="93"/>
      <c r="L674" s="90">
        <v>7000</v>
      </c>
      <c r="M674" s="93"/>
      <c r="N674" s="90">
        <v>2787000</v>
      </c>
      <c r="O674" s="93"/>
      <c r="P674" s="90">
        <v>3191000</v>
      </c>
      <c r="Q674" s="93"/>
      <c r="R674" s="90">
        <v>3040000</v>
      </c>
      <c r="S674" s="86">
        <f t="shared" si="28"/>
        <v>0</v>
      </c>
    </row>
    <row r="675" spans="3:19" x14ac:dyDescent="0.15">
      <c r="C675" s="52" t="s">
        <v>336</v>
      </c>
      <c r="D675" s="52"/>
      <c r="E675" s="91"/>
      <c r="F675" s="75">
        <f>SUM(H675:L675)</f>
        <v>958000</v>
      </c>
      <c r="G675" s="92"/>
      <c r="H675" s="90">
        <v>-311000</v>
      </c>
      <c r="I675" s="93"/>
      <c r="J675" s="90">
        <v>1252000</v>
      </c>
      <c r="K675" s="93"/>
      <c r="L675" s="90">
        <v>17000</v>
      </c>
      <c r="M675" s="93"/>
      <c r="N675" s="90">
        <v>1237000</v>
      </c>
      <c r="O675" s="93"/>
      <c r="P675" s="90">
        <v>-278000</v>
      </c>
      <c r="Q675" s="93"/>
      <c r="R675" s="90">
        <v>1000</v>
      </c>
      <c r="S675" s="86">
        <f t="shared" si="28"/>
        <v>0</v>
      </c>
    </row>
    <row r="676" spans="3:19" x14ac:dyDescent="0.15">
      <c r="C676" s="52" t="s">
        <v>234</v>
      </c>
      <c r="D676" s="52"/>
      <c r="E676" s="91"/>
      <c r="F676" s="75">
        <f>SUM(H676:L676)</f>
        <v>1989000</v>
      </c>
      <c r="G676" s="92"/>
      <c r="H676" s="90">
        <v>2068000</v>
      </c>
      <c r="I676" s="93"/>
      <c r="J676" s="90">
        <v>-132000</v>
      </c>
      <c r="K676" s="93"/>
      <c r="L676" s="90">
        <v>53000</v>
      </c>
      <c r="M676" s="93"/>
      <c r="N676" s="90">
        <v>67000</v>
      </c>
      <c r="O676" s="93"/>
      <c r="P676" s="90">
        <v>2285000</v>
      </c>
      <c r="Q676" s="93"/>
      <c r="R676" s="90">
        <v>363000</v>
      </c>
      <c r="S676" s="86">
        <f t="shared" si="28"/>
        <v>0</v>
      </c>
    </row>
    <row r="677" spans="3:19" x14ac:dyDescent="0.15">
      <c r="C677" s="52" t="s">
        <v>337</v>
      </c>
      <c r="D677" s="52"/>
      <c r="E677" s="91"/>
      <c r="G677" s="69"/>
      <c r="H677" s="90"/>
      <c r="I677" s="90"/>
      <c r="J677" s="90"/>
      <c r="K677" s="90"/>
      <c r="L677" s="90"/>
      <c r="M677" s="90"/>
      <c r="N677" s="90"/>
      <c r="O677" s="90"/>
      <c r="P677" s="90"/>
      <c r="Q677" s="90"/>
      <c r="R677" s="90"/>
      <c r="S677" s="86">
        <f t="shared" si="28"/>
        <v>0</v>
      </c>
    </row>
    <row r="678" spans="3:19" x14ac:dyDescent="0.15">
      <c r="C678" s="86"/>
      <c r="D678" s="52"/>
      <c r="E678" s="52" t="s">
        <v>338</v>
      </c>
      <c r="F678" s="75">
        <f t="shared" ref="F678:F688" si="30">SUM(H678:L678)</f>
        <v>3616000</v>
      </c>
      <c r="G678" s="92"/>
      <c r="H678" s="90">
        <v>1681000</v>
      </c>
      <c r="I678" s="93"/>
      <c r="J678" s="90">
        <v>1771000</v>
      </c>
      <c r="K678" s="93"/>
      <c r="L678" s="90">
        <v>164000</v>
      </c>
      <c r="M678" s="93"/>
      <c r="N678" s="90">
        <v>2162000</v>
      </c>
      <c r="O678" s="93"/>
      <c r="P678" s="90">
        <v>1454000</v>
      </c>
      <c r="Q678" s="93"/>
      <c r="R678" s="90">
        <v>0</v>
      </c>
      <c r="S678" s="86">
        <f t="shared" si="28"/>
        <v>0</v>
      </c>
    </row>
    <row r="679" spans="3:19" x14ac:dyDescent="0.15">
      <c r="C679" s="52" t="s">
        <v>339</v>
      </c>
      <c r="D679" s="52"/>
      <c r="E679" s="91"/>
      <c r="F679" s="75">
        <f t="shared" si="30"/>
        <v>2813000</v>
      </c>
      <c r="G679" s="92"/>
      <c r="H679" s="90">
        <v>0</v>
      </c>
      <c r="I679" s="93"/>
      <c r="J679" s="90">
        <v>2813000</v>
      </c>
      <c r="K679" s="93"/>
      <c r="L679" s="90">
        <v>0</v>
      </c>
      <c r="M679" s="93"/>
      <c r="N679" s="90">
        <v>1896000</v>
      </c>
      <c r="O679" s="93"/>
      <c r="P679" s="90">
        <v>917000</v>
      </c>
      <c r="Q679" s="93"/>
      <c r="R679" s="90">
        <v>0</v>
      </c>
      <c r="S679" s="86">
        <f t="shared" si="28"/>
        <v>0</v>
      </c>
    </row>
    <row r="680" spans="3:19" x14ac:dyDescent="0.15">
      <c r="C680" s="52" t="s">
        <v>340</v>
      </c>
      <c r="D680" s="52"/>
      <c r="E680" s="91"/>
      <c r="F680" s="75">
        <f t="shared" si="30"/>
        <v>700000</v>
      </c>
      <c r="G680" s="92"/>
      <c r="H680" s="90">
        <v>262000</v>
      </c>
      <c r="I680" s="93"/>
      <c r="J680" s="90">
        <v>438000</v>
      </c>
      <c r="K680" s="93"/>
      <c r="L680" s="90">
        <v>0</v>
      </c>
      <c r="M680" s="93"/>
      <c r="N680" s="90">
        <f>638000+1000</f>
        <v>639000</v>
      </c>
      <c r="O680" s="93"/>
      <c r="P680" s="90">
        <v>265000</v>
      </c>
      <c r="Q680" s="93"/>
      <c r="R680" s="90">
        <v>204000</v>
      </c>
      <c r="S680" s="86">
        <f t="shared" si="28"/>
        <v>0</v>
      </c>
    </row>
    <row r="681" spans="3:19" x14ac:dyDescent="0.15">
      <c r="C681" s="52" t="s">
        <v>341</v>
      </c>
      <c r="D681" s="52"/>
      <c r="E681" s="91"/>
      <c r="F681" s="75">
        <f t="shared" si="30"/>
        <v>732000</v>
      </c>
      <c r="G681" s="92"/>
      <c r="H681" s="90">
        <v>264000</v>
      </c>
      <c r="I681" s="93"/>
      <c r="J681" s="90">
        <f>402000-1000</f>
        <v>401000</v>
      </c>
      <c r="K681" s="93"/>
      <c r="L681" s="90">
        <v>67000</v>
      </c>
      <c r="M681" s="93"/>
      <c r="N681" s="90">
        <f>494000-1000</f>
        <v>493000</v>
      </c>
      <c r="O681" s="93"/>
      <c r="P681" s="90">
        <v>239000</v>
      </c>
      <c r="Q681" s="93"/>
      <c r="R681" s="90">
        <v>0</v>
      </c>
      <c r="S681" s="86">
        <f t="shared" si="28"/>
        <v>0</v>
      </c>
    </row>
    <row r="682" spans="3:19" x14ac:dyDescent="0.15">
      <c r="C682" s="52" t="s">
        <v>236</v>
      </c>
      <c r="D682" s="52"/>
      <c r="E682" s="91"/>
      <c r="F682" s="75">
        <f t="shared" si="30"/>
        <v>-38000</v>
      </c>
      <c r="G682" s="92"/>
      <c r="H682" s="90">
        <v>0</v>
      </c>
      <c r="I682" s="93"/>
      <c r="J682" s="90">
        <v>-38000</v>
      </c>
      <c r="K682" s="93"/>
      <c r="L682" s="90">
        <v>0</v>
      </c>
      <c r="M682" s="93"/>
      <c r="N682" s="90">
        <v>806000</v>
      </c>
      <c r="O682" s="93"/>
      <c r="P682" s="90">
        <v>490000</v>
      </c>
      <c r="Q682" s="93"/>
      <c r="R682" s="90">
        <v>1334000</v>
      </c>
      <c r="S682" s="86">
        <f t="shared" si="28"/>
        <v>0</v>
      </c>
    </row>
    <row r="683" spans="3:19" x14ac:dyDescent="0.15">
      <c r="C683" s="52" t="s">
        <v>448</v>
      </c>
      <c r="D683" s="52"/>
      <c r="E683" s="91"/>
      <c r="F683" s="75">
        <f t="shared" si="30"/>
        <v>118000</v>
      </c>
      <c r="G683" s="92"/>
      <c r="H683" s="90">
        <v>118000</v>
      </c>
      <c r="I683" s="93"/>
      <c r="J683" s="90">
        <v>0</v>
      </c>
      <c r="K683" s="93"/>
      <c r="L683" s="90">
        <v>0</v>
      </c>
      <c r="M683" s="93"/>
      <c r="N683" s="90">
        <v>84000</v>
      </c>
      <c r="O683" s="93"/>
      <c r="P683" s="90">
        <v>34000</v>
      </c>
      <c r="Q683" s="93"/>
      <c r="R683" s="90">
        <v>0</v>
      </c>
      <c r="S683" s="86">
        <f t="shared" si="28"/>
        <v>0</v>
      </c>
    </row>
    <row r="684" spans="3:19" x14ac:dyDescent="0.15">
      <c r="C684" s="52" t="s">
        <v>318</v>
      </c>
      <c r="D684" s="52"/>
      <c r="E684" s="91"/>
      <c r="F684" s="75">
        <f t="shared" si="30"/>
        <v>1916000</v>
      </c>
      <c r="G684" s="92"/>
      <c r="H684" s="90">
        <v>775000</v>
      </c>
      <c r="I684" s="93"/>
      <c r="J684" s="90">
        <v>123000</v>
      </c>
      <c r="K684" s="93"/>
      <c r="L684" s="90">
        <v>1018000</v>
      </c>
      <c r="M684" s="93"/>
      <c r="N684" s="90">
        <v>1235000</v>
      </c>
      <c r="O684" s="93"/>
      <c r="P684" s="90">
        <v>681000</v>
      </c>
      <c r="Q684" s="93"/>
      <c r="R684" s="90">
        <v>0</v>
      </c>
      <c r="S684" s="86">
        <f t="shared" si="28"/>
        <v>0</v>
      </c>
    </row>
    <row r="685" spans="3:19" x14ac:dyDescent="0.15">
      <c r="C685" s="52" t="s">
        <v>303</v>
      </c>
      <c r="D685" s="52"/>
      <c r="E685" s="91"/>
      <c r="F685" s="75">
        <f t="shared" si="30"/>
        <v>814000</v>
      </c>
      <c r="G685" s="92"/>
      <c r="H685" s="90">
        <v>459000</v>
      </c>
      <c r="I685" s="93"/>
      <c r="J685" s="90">
        <v>13000</v>
      </c>
      <c r="K685" s="93"/>
      <c r="L685" s="90">
        <v>342000</v>
      </c>
      <c r="M685" s="93"/>
      <c r="N685" s="90">
        <v>486000</v>
      </c>
      <c r="O685" s="93"/>
      <c r="P685" s="90">
        <v>328000</v>
      </c>
      <c r="Q685" s="93"/>
      <c r="R685" s="90">
        <v>0</v>
      </c>
      <c r="S685" s="86">
        <f t="shared" si="28"/>
        <v>0</v>
      </c>
    </row>
    <row r="686" spans="3:19" x14ac:dyDescent="0.15">
      <c r="C686" s="52" t="s">
        <v>342</v>
      </c>
      <c r="D686" s="52"/>
      <c r="E686" s="91"/>
      <c r="F686" s="75">
        <f t="shared" si="30"/>
        <v>1468000</v>
      </c>
      <c r="G686" s="92"/>
      <c r="H686" s="90">
        <v>573000</v>
      </c>
      <c r="I686" s="93"/>
      <c r="J686" s="90">
        <v>652000</v>
      </c>
      <c r="K686" s="93"/>
      <c r="L686" s="90">
        <v>243000</v>
      </c>
      <c r="M686" s="93"/>
      <c r="N686" s="90">
        <f>1021000+2000</f>
        <v>1023000</v>
      </c>
      <c r="O686" s="93"/>
      <c r="P686" s="90">
        <f>2319000-1000</f>
        <v>2318000</v>
      </c>
      <c r="Q686" s="93"/>
      <c r="R686" s="90">
        <f>1871000+1000+1000</f>
        <v>1873000</v>
      </c>
      <c r="S686" s="86">
        <f t="shared" si="28"/>
        <v>0</v>
      </c>
    </row>
    <row r="687" spans="3:19" x14ac:dyDescent="0.15">
      <c r="C687" s="52" t="s">
        <v>244</v>
      </c>
      <c r="D687" s="52"/>
      <c r="E687" s="91"/>
      <c r="F687" s="75">
        <f t="shared" si="30"/>
        <v>-489000</v>
      </c>
      <c r="G687" s="92"/>
      <c r="H687" s="90">
        <f>-682000-1000</f>
        <v>-683000</v>
      </c>
      <c r="I687" s="93"/>
      <c r="J687" s="90">
        <f>319000-1000</f>
        <v>318000</v>
      </c>
      <c r="K687" s="93"/>
      <c r="L687" s="90">
        <v>-124000</v>
      </c>
      <c r="M687" s="93"/>
      <c r="N687" s="90">
        <f>-464000-2000</f>
        <v>-466000</v>
      </c>
      <c r="O687" s="93"/>
      <c r="P687" s="90">
        <v>-23000</v>
      </c>
      <c r="Q687" s="93"/>
      <c r="R687" s="90">
        <v>0</v>
      </c>
      <c r="S687" s="86">
        <f t="shared" si="28"/>
        <v>0</v>
      </c>
    </row>
    <row r="688" spans="3:19" x14ac:dyDescent="0.15">
      <c r="C688" s="52" t="s">
        <v>245</v>
      </c>
      <c r="D688" s="52"/>
      <c r="E688" s="91"/>
      <c r="F688" s="94">
        <f t="shared" si="30"/>
        <v>0</v>
      </c>
      <c r="G688" s="69"/>
      <c r="H688" s="95">
        <v>-9226000</v>
      </c>
      <c r="I688" s="90"/>
      <c r="J688" s="95">
        <v>9226000</v>
      </c>
      <c r="K688" s="90"/>
      <c r="L688" s="95">
        <v>0</v>
      </c>
      <c r="M688" s="90"/>
      <c r="N688" s="95">
        <v>0</v>
      </c>
      <c r="O688" s="90"/>
      <c r="P688" s="95">
        <v>0</v>
      </c>
      <c r="Q688" s="90"/>
      <c r="R688" s="95">
        <v>0</v>
      </c>
      <c r="S688" s="86">
        <f t="shared" si="28"/>
        <v>0</v>
      </c>
    </row>
    <row r="689" spans="1:19" x14ac:dyDescent="0.15"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86">
        <f t="shared" si="28"/>
        <v>0</v>
      </c>
    </row>
    <row r="690" spans="1:19" x14ac:dyDescent="0.15">
      <c r="E690" s="52" t="s">
        <v>3</v>
      </c>
      <c r="F690" s="94">
        <f>SUM(H690:L690)</f>
        <v>106479000</v>
      </c>
      <c r="G690" s="69"/>
      <c r="H690" s="94">
        <f>SUM(H654:H689)</f>
        <v>59061000</v>
      </c>
      <c r="I690" s="75"/>
      <c r="J690" s="94">
        <f t="shared" ref="J690:R690" si="31">SUM(J654:J689)</f>
        <v>29309000</v>
      </c>
      <c r="K690" s="94">
        <f t="shared" si="31"/>
        <v>0</v>
      </c>
      <c r="L690" s="94">
        <f t="shared" si="31"/>
        <v>18109000</v>
      </c>
      <c r="M690" s="94">
        <f t="shared" si="31"/>
        <v>0</v>
      </c>
      <c r="N690" s="94">
        <f t="shared" si="31"/>
        <v>56653000</v>
      </c>
      <c r="O690" s="94">
        <f t="shared" si="31"/>
        <v>0</v>
      </c>
      <c r="P690" s="94">
        <f t="shared" si="31"/>
        <v>81529000</v>
      </c>
      <c r="Q690" s="94">
        <f t="shared" si="31"/>
        <v>0</v>
      </c>
      <c r="R690" s="94">
        <f t="shared" si="31"/>
        <v>31703000</v>
      </c>
      <c r="S690" s="86">
        <f t="shared" si="28"/>
        <v>0</v>
      </c>
    </row>
    <row r="691" spans="1:19" x14ac:dyDescent="0.15"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86">
        <f t="shared" si="28"/>
        <v>0</v>
      </c>
    </row>
    <row r="692" spans="1:19" x14ac:dyDescent="0.15">
      <c r="E692" s="52" t="s">
        <v>343</v>
      </c>
      <c r="F692" s="94">
        <f>SUM(H692:L692)</f>
        <v>393642000</v>
      </c>
      <c r="G692" s="69"/>
      <c r="H692" s="94">
        <f>+H531+H621+H651+H690</f>
        <v>-139865000</v>
      </c>
      <c r="I692" s="75"/>
      <c r="J692" s="94">
        <f>+J531+J621+J651+J690</f>
        <v>299868000</v>
      </c>
      <c r="K692" s="75"/>
      <c r="L692" s="94">
        <f>+L531+L621+L651+L690</f>
        <v>233639000</v>
      </c>
      <c r="M692" s="75"/>
      <c r="N692" s="94">
        <f>+N531+N621+N651+N690</f>
        <v>182723000</v>
      </c>
      <c r="O692" s="75"/>
      <c r="P692" s="94">
        <f>+P531+P621+P651+P690</f>
        <v>245120000</v>
      </c>
      <c r="Q692" s="75"/>
      <c r="R692" s="94">
        <f>+R531+R621+R651+R690</f>
        <v>34201000</v>
      </c>
      <c r="S692" s="86">
        <f t="shared" si="28"/>
        <v>0</v>
      </c>
    </row>
    <row r="693" spans="1:19" x14ac:dyDescent="0.15">
      <c r="G693" s="69"/>
      <c r="H693" s="75"/>
      <c r="I693" s="75"/>
      <c r="J693" s="75"/>
      <c r="K693" s="75"/>
      <c r="L693" s="75"/>
      <c r="M693" s="75"/>
      <c r="N693" s="75"/>
      <c r="O693" s="75"/>
      <c r="P693" s="75"/>
      <c r="Q693" s="75"/>
      <c r="R693" s="75"/>
      <c r="S693" s="86">
        <f t="shared" si="28"/>
        <v>0</v>
      </c>
    </row>
    <row r="694" spans="1:19" x14ac:dyDescent="0.15">
      <c r="A694" s="79" t="s">
        <v>344</v>
      </c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86">
        <f t="shared" si="28"/>
        <v>0</v>
      </c>
    </row>
    <row r="695" spans="1:19" x14ac:dyDescent="0.15">
      <c r="A695" s="88"/>
      <c r="B695" s="88"/>
      <c r="C695" s="88"/>
      <c r="D695" s="88"/>
      <c r="E695" s="88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86">
        <f t="shared" si="28"/>
        <v>0</v>
      </c>
    </row>
    <row r="696" spans="1:19" x14ac:dyDescent="0.15">
      <c r="A696" s="88"/>
      <c r="B696" s="53" t="s">
        <v>345</v>
      </c>
      <c r="C696" s="88"/>
      <c r="D696" s="88"/>
      <c r="E696" s="88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86">
        <f t="shared" si="28"/>
        <v>0</v>
      </c>
    </row>
    <row r="697" spans="1:19" x14ac:dyDescent="0.15">
      <c r="B697" s="78"/>
      <c r="C697" s="53" t="s">
        <v>33</v>
      </c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86">
        <f t="shared" si="28"/>
        <v>0</v>
      </c>
    </row>
    <row r="698" spans="1:19" x14ac:dyDescent="0.15">
      <c r="C698" s="52" t="s">
        <v>350</v>
      </c>
      <c r="G698" s="92"/>
      <c r="H698" s="90"/>
      <c r="I698" s="93"/>
      <c r="J698" s="90"/>
      <c r="K698" s="93"/>
      <c r="L698" s="90"/>
      <c r="M698" s="93"/>
      <c r="N698" s="90"/>
      <c r="O698" s="93"/>
      <c r="P698" s="90"/>
      <c r="Q698" s="93"/>
      <c r="R698" s="90"/>
      <c r="S698" s="86">
        <f t="shared" si="28"/>
        <v>0</v>
      </c>
    </row>
    <row r="699" spans="1:19" x14ac:dyDescent="0.15">
      <c r="C699" s="53" t="s">
        <v>351</v>
      </c>
      <c r="D699" s="52"/>
      <c r="E699" s="52" t="s">
        <v>352</v>
      </c>
      <c r="F699" s="94">
        <f>SUM(H699:L699)</f>
        <v>1070200.8500000001</v>
      </c>
      <c r="G699" s="69"/>
      <c r="H699" s="95">
        <v>-136.71</v>
      </c>
      <c r="I699" s="93"/>
      <c r="J699" s="95">
        <v>682124.08</v>
      </c>
      <c r="K699" s="93"/>
      <c r="L699" s="95">
        <v>388213.48</v>
      </c>
      <c r="M699" s="93"/>
      <c r="N699" s="95">
        <v>661629.57999999996</v>
      </c>
      <c r="O699" s="93"/>
      <c r="P699" s="95">
        <v>408571.27</v>
      </c>
      <c r="Q699" s="93"/>
      <c r="R699" s="95">
        <v>0</v>
      </c>
      <c r="S699" s="86">
        <f t="shared" si="28"/>
        <v>1.1641532182693481E-10</v>
      </c>
    </row>
    <row r="700" spans="1:19" x14ac:dyDescent="0.15"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86">
        <f t="shared" si="28"/>
        <v>0</v>
      </c>
    </row>
    <row r="701" spans="1:19" x14ac:dyDescent="0.15">
      <c r="E701" s="52" t="s">
        <v>3</v>
      </c>
      <c r="F701" s="94">
        <f>SUM(H701:L701)</f>
        <v>1070200.8500000001</v>
      </c>
      <c r="G701" s="69"/>
      <c r="H701" s="94">
        <f>SUM(H698:H700)</f>
        <v>-136.71</v>
      </c>
      <c r="I701" s="75"/>
      <c r="J701" s="94">
        <f>SUM(J698:J700)</f>
        <v>682124.08</v>
      </c>
      <c r="K701" s="75"/>
      <c r="L701" s="94">
        <f>SUM(L698:L700)</f>
        <v>388213.48</v>
      </c>
      <c r="M701" s="75"/>
      <c r="N701" s="94">
        <f>SUM(N698:N700)</f>
        <v>661629.57999999996</v>
      </c>
      <c r="O701" s="75"/>
      <c r="P701" s="94">
        <f>SUM(P698:P700)</f>
        <v>408571.27</v>
      </c>
      <c r="Q701" s="75"/>
      <c r="R701" s="94">
        <f>SUM(R698:R700)</f>
        <v>0</v>
      </c>
      <c r="S701" s="86">
        <f t="shared" si="28"/>
        <v>1.1641532182693481E-10</v>
      </c>
    </row>
    <row r="702" spans="1:19" x14ac:dyDescent="0.15">
      <c r="A702" s="88"/>
      <c r="B702" s="88"/>
      <c r="C702" s="88"/>
      <c r="D702" s="88"/>
      <c r="E702" s="88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86">
        <f t="shared" si="28"/>
        <v>0</v>
      </c>
    </row>
    <row r="703" spans="1:19" x14ac:dyDescent="0.15">
      <c r="A703" s="88"/>
      <c r="B703" s="53" t="s">
        <v>353</v>
      </c>
      <c r="C703" s="88"/>
      <c r="D703" s="88"/>
      <c r="E703" s="88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86">
        <f t="shared" si="28"/>
        <v>0</v>
      </c>
    </row>
    <row r="704" spans="1:19" x14ac:dyDescent="0.15">
      <c r="B704" s="78"/>
      <c r="C704" s="53" t="s">
        <v>354</v>
      </c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86">
        <f t="shared" si="28"/>
        <v>0</v>
      </c>
    </row>
    <row r="705" spans="2:19" x14ac:dyDescent="0.15">
      <c r="B705" s="78"/>
      <c r="C705" s="53" t="s">
        <v>355</v>
      </c>
      <c r="F705" s="94">
        <f>SUM(H705:L705)</f>
        <v>1953000</v>
      </c>
      <c r="G705" s="69"/>
      <c r="H705" s="95">
        <v>0</v>
      </c>
      <c r="I705" s="90"/>
      <c r="J705" s="95">
        <v>1934000</v>
      </c>
      <c r="K705" s="90"/>
      <c r="L705" s="95">
        <v>19000</v>
      </c>
      <c r="M705" s="90"/>
      <c r="N705" s="95">
        <v>1264000</v>
      </c>
      <c r="O705" s="90"/>
      <c r="P705" s="95">
        <f>685000-1000</f>
        <v>684000</v>
      </c>
      <c r="Q705" s="90"/>
      <c r="R705" s="95">
        <v>-5000</v>
      </c>
      <c r="S705" s="86">
        <f t="shared" si="28"/>
        <v>0</v>
      </c>
    </row>
    <row r="706" spans="2:19" x14ac:dyDescent="0.15">
      <c r="B706" s="78"/>
      <c r="S706" s="86">
        <f t="shared" si="28"/>
        <v>0</v>
      </c>
    </row>
    <row r="707" spans="2:19" x14ac:dyDescent="0.15">
      <c r="C707" s="52" t="s">
        <v>356</v>
      </c>
      <c r="D707" s="52"/>
      <c r="E707" s="91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86">
        <f t="shared" si="28"/>
        <v>0</v>
      </c>
    </row>
    <row r="708" spans="2:19" x14ac:dyDescent="0.15">
      <c r="E708" s="52" t="s">
        <v>357</v>
      </c>
      <c r="F708" s="75">
        <f>SUM(H708:L708)</f>
        <v>350000</v>
      </c>
      <c r="G708" s="92"/>
      <c r="H708" s="90">
        <v>0</v>
      </c>
      <c r="I708" s="93"/>
      <c r="J708" s="90">
        <v>275000</v>
      </c>
      <c r="K708" s="93"/>
      <c r="L708" s="90">
        <v>75000</v>
      </c>
      <c r="M708" s="93"/>
      <c r="N708" s="90">
        <v>212000</v>
      </c>
      <c r="O708" s="93"/>
      <c r="P708" s="90">
        <v>138000</v>
      </c>
      <c r="Q708" s="93"/>
      <c r="R708" s="90">
        <v>0</v>
      </c>
      <c r="S708" s="86">
        <f t="shared" si="28"/>
        <v>0</v>
      </c>
    </row>
    <row r="709" spans="2:19" x14ac:dyDescent="0.15">
      <c r="E709" s="52" t="s">
        <v>358</v>
      </c>
      <c r="F709" s="94">
        <f>SUM(H709:L709)</f>
        <v>965000</v>
      </c>
      <c r="G709" s="69"/>
      <c r="H709" s="95">
        <v>0</v>
      </c>
      <c r="I709" s="90"/>
      <c r="J709" s="95">
        <v>681000</v>
      </c>
      <c r="K709" s="90"/>
      <c r="L709" s="95">
        <v>284000</v>
      </c>
      <c r="M709" s="90"/>
      <c r="N709" s="95">
        <v>421000</v>
      </c>
      <c r="O709" s="90"/>
      <c r="P709" s="95">
        <v>560000</v>
      </c>
      <c r="Q709" s="90"/>
      <c r="R709" s="95">
        <v>16000</v>
      </c>
      <c r="S709" s="86">
        <f t="shared" si="28"/>
        <v>0</v>
      </c>
    </row>
    <row r="710" spans="2:19" x14ac:dyDescent="0.15"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86">
        <f t="shared" si="28"/>
        <v>0</v>
      </c>
    </row>
    <row r="711" spans="2:19" x14ac:dyDescent="0.15">
      <c r="E711" s="52" t="s">
        <v>3</v>
      </c>
      <c r="F711" s="94">
        <f>SUM(H711:L711)</f>
        <v>1315000</v>
      </c>
      <c r="G711" s="69"/>
      <c r="H711" s="94">
        <f>SUM(H708:H710)</f>
        <v>0</v>
      </c>
      <c r="I711" s="75"/>
      <c r="J711" s="94">
        <f>SUM(J708:J710)</f>
        <v>956000</v>
      </c>
      <c r="K711" s="75"/>
      <c r="L711" s="94">
        <f>SUM(L708:L710)</f>
        <v>359000</v>
      </c>
      <c r="M711" s="75"/>
      <c r="N711" s="94">
        <f>SUM(N708:N710)</f>
        <v>633000</v>
      </c>
      <c r="O711" s="75"/>
      <c r="P711" s="94">
        <f>SUM(P708:P710)</f>
        <v>698000</v>
      </c>
      <c r="Q711" s="75"/>
      <c r="R711" s="94">
        <f>SUM(R708:R710)</f>
        <v>16000</v>
      </c>
      <c r="S711" s="86">
        <f t="shared" si="28"/>
        <v>0</v>
      </c>
    </row>
    <row r="712" spans="2:19" x14ac:dyDescent="0.15">
      <c r="B712" s="7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86">
        <f t="shared" ref="S712:S775" si="32">+F712-N712-P712+R712</f>
        <v>0</v>
      </c>
    </row>
    <row r="713" spans="2:19" x14ac:dyDescent="0.15">
      <c r="C713" s="52" t="s">
        <v>359</v>
      </c>
      <c r="D713" s="52"/>
      <c r="E713" s="91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86">
        <f t="shared" si="32"/>
        <v>0</v>
      </c>
    </row>
    <row r="714" spans="2:19" x14ac:dyDescent="0.15">
      <c r="E714" s="52" t="s">
        <v>360</v>
      </c>
      <c r="F714" s="75">
        <f>SUM(H714:L714)</f>
        <v>985000</v>
      </c>
      <c r="G714" s="92"/>
      <c r="H714" s="90">
        <v>2000</v>
      </c>
      <c r="I714" s="93"/>
      <c r="J714" s="90">
        <f>30000-1000</f>
        <v>29000</v>
      </c>
      <c r="K714" s="93"/>
      <c r="L714" s="90">
        <v>954000</v>
      </c>
      <c r="M714" s="93"/>
      <c r="N714" s="90">
        <v>609000</v>
      </c>
      <c r="O714" s="93"/>
      <c r="P714" s="90">
        <v>376000</v>
      </c>
      <c r="Q714" s="93"/>
      <c r="R714" s="90">
        <v>0</v>
      </c>
      <c r="S714" s="86">
        <f t="shared" si="32"/>
        <v>0</v>
      </c>
    </row>
    <row r="715" spans="2:19" x14ac:dyDescent="0.15">
      <c r="E715" s="52" t="s">
        <v>361</v>
      </c>
      <c r="G715" s="69"/>
      <c r="H715" s="90"/>
      <c r="I715" s="90"/>
      <c r="J715" s="90"/>
      <c r="K715" s="90"/>
      <c r="L715" s="90"/>
      <c r="M715" s="90"/>
      <c r="N715" s="90"/>
      <c r="O715" s="90"/>
      <c r="P715" s="90"/>
      <c r="Q715" s="90"/>
      <c r="R715" s="90"/>
      <c r="S715" s="86">
        <f t="shared" si="32"/>
        <v>0</v>
      </c>
    </row>
    <row r="716" spans="2:19" x14ac:dyDescent="0.15">
      <c r="E716" s="52" t="s">
        <v>362</v>
      </c>
      <c r="F716" s="75">
        <f t="shared" ref="F716:F722" si="33">SUM(H716:L716)</f>
        <v>458000</v>
      </c>
      <c r="G716" s="92"/>
      <c r="H716" s="90">
        <f>28000+1000</f>
        <v>29000</v>
      </c>
      <c r="I716" s="93"/>
      <c r="J716" s="90">
        <v>400000</v>
      </c>
      <c r="K716" s="93"/>
      <c r="L716" s="90">
        <v>29000</v>
      </c>
      <c r="M716" s="93"/>
      <c r="N716" s="90">
        <v>203000</v>
      </c>
      <c r="O716" s="93"/>
      <c r="P716" s="90">
        <v>255000</v>
      </c>
      <c r="Q716" s="93"/>
      <c r="R716" s="90">
        <v>0</v>
      </c>
      <c r="S716" s="86">
        <f t="shared" si="32"/>
        <v>0</v>
      </c>
    </row>
    <row r="717" spans="2:19" x14ac:dyDescent="0.15">
      <c r="E717" s="52" t="s">
        <v>364</v>
      </c>
      <c r="F717" s="75">
        <f t="shared" si="33"/>
        <v>4658000</v>
      </c>
      <c r="G717" s="92"/>
      <c r="H717" s="90">
        <v>0</v>
      </c>
      <c r="I717" s="93"/>
      <c r="J717" s="90">
        <v>4523000</v>
      </c>
      <c r="K717" s="93"/>
      <c r="L717" s="90">
        <v>135000</v>
      </c>
      <c r="M717" s="93"/>
      <c r="N717" s="90">
        <v>2640000</v>
      </c>
      <c r="O717" s="93"/>
      <c r="P717" s="90">
        <f>2017000+1000</f>
        <v>2018000</v>
      </c>
      <c r="Q717" s="93"/>
      <c r="R717" s="90">
        <v>0</v>
      </c>
      <c r="S717" s="86">
        <f t="shared" si="32"/>
        <v>0</v>
      </c>
    </row>
    <row r="718" spans="2:19" x14ac:dyDescent="0.15">
      <c r="E718" s="52" t="s">
        <v>365</v>
      </c>
      <c r="F718" s="75">
        <f t="shared" si="33"/>
        <v>315000</v>
      </c>
      <c r="G718" s="92"/>
      <c r="H718" s="90">
        <v>0</v>
      </c>
      <c r="I718" s="93"/>
      <c r="J718" s="90">
        <v>302000</v>
      </c>
      <c r="K718" s="93"/>
      <c r="L718" s="90">
        <v>13000</v>
      </c>
      <c r="M718" s="93"/>
      <c r="N718" s="90">
        <v>227000</v>
      </c>
      <c r="O718" s="93"/>
      <c r="P718" s="90">
        <f>87000+1000</f>
        <v>88000</v>
      </c>
      <c r="Q718" s="93"/>
      <c r="R718" s="90">
        <v>0</v>
      </c>
      <c r="S718" s="86">
        <f t="shared" si="32"/>
        <v>0</v>
      </c>
    </row>
    <row r="719" spans="2:19" x14ac:dyDescent="0.15">
      <c r="E719" s="52" t="s">
        <v>524</v>
      </c>
      <c r="F719" s="75">
        <f t="shared" si="33"/>
        <v>300000</v>
      </c>
      <c r="G719" s="92"/>
      <c r="H719" s="90">
        <v>183000</v>
      </c>
      <c r="I719" s="93"/>
      <c r="J719" s="90">
        <v>117000</v>
      </c>
      <c r="K719" s="93"/>
      <c r="L719" s="90">
        <v>0</v>
      </c>
      <c r="M719" s="93"/>
      <c r="N719" s="90">
        <v>213000</v>
      </c>
      <c r="O719" s="93"/>
      <c r="P719" s="90">
        <f>86000+1000</f>
        <v>87000</v>
      </c>
      <c r="Q719" s="93"/>
      <c r="R719" s="90">
        <v>0</v>
      </c>
      <c r="S719" s="86">
        <f t="shared" si="32"/>
        <v>0</v>
      </c>
    </row>
    <row r="720" spans="2:19" x14ac:dyDescent="0.15">
      <c r="E720" s="52" t="s">
        <v>366</v>
      </c>
      <c r="F720" s="75">
        <f t="shared" si="33"/>
        <v>1619000</v>
      </c>
      <c r="G720" s="92"/>
      <c r="H720" s="90">
        <v>0</v>
      </c>
      <c r="I720" s="93"/>
      <c r="J720" s="90">
        <v>1616000</v>
      </c>
      <c r="K720" s="93"/>
      <c r="L720" s="90">
        <f>2000+1000</f>
        <v>3000</v>
      </c>
      <c r="M720" s="93"/>
      <c r="N720" s="90">
        <v>664000</v>
      </c>
      <c r="O720" s="93"/>
      <c r="P720" s="90">
        <v>955000</v>
      </c>
      <c r="Q720" s="93"/>
      <c r="R720" s="90">
        <v>0</v>
      </c>
      <c r="S720" s="86">
        <f t="shared" si="32"/>
        <v>0</v>
      </c>
    </row>
    <row r="721" spans="1:19" x14ac:dyDescent="0.15">
      <c r="E721" s="52" t="s">
        <v>367</v>
      </c>
      <c r="F721" s="75">
        <f t="shared" si="33"/>
        <v>4668000</v>
      </c>
      <c r="G721" s="92"/>
      <c r="H721" s="90">
        <f>1179000-2000</f>
        <v>1177000</v>
      </c>
      <c r="I721" s="93"/>
      <c r="J721" s="90">
        <f>3439000+2000</f>
        <v>3441000</v>
      </c>
      <c r="K721" s="93"/>
      <c r="L721" s="90">
        <v>50000</v>
      </c>
      <c r="M721" s="93"/>
      <c r="N721" s="90">
        <f>2963000+1000</f>
        <v>2964000</v>
      </c>
      <c r="O721" s="93"/>
      <c r="P721" s="90">
        <f>1705000-1000</f>
        <v>1704000</v>
      </c>
      <c r="Q721" s="93"/>
      <c r="R721" s="90">
        <v>0</v>
      </c>
      <c r="S721" s="86">
        <f t="shared" si="32"/>
        <v>0</v>
      </c>
    </row>
    <row r="722" spans="1:19" x14ac:dyDescent="0.15">
      <c r="E722" s="52" t="s">
        <v>368</v>
      </c>
      <c r="F722" s="94">
        <f t="shared" si="33"/>
        <v>1064000</v>
      </c>
      <c r="G722" s="69"/>
      <c r="H722" s="95">
        <f>23000+1000</f>
        <v>24000</v>
      </c>
      <c r="I722" s="90"/>
      <c r="J722" s="95">
        <v>999000</v>
      </c>
      <c r="K722" s="90"/>
      <c r="L722" s="95">
        <v>41000</v>
      </c>
      <c r="M722" s="90"/>
      <c r="N722" s="95">
        <v>731000</v>
      </c>
      <c r="O722" s="90"/>
      <c r="P722" s="95">
        <v>333000</v>
      </c>
      <c r="Q722" s="90"/>
      <c r="R722" s="95">
        <v>0</v>
      </c>
      <c r="S722" s="86">
        <f t="shared" si="32"/>
        <v>0</v>
      </c>
    </row>
    <row r="723" spans="1:19" x14ac:dyDescent="0.15"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86">
        <f t="shared" si="32"/>
        <v>0</v>
      </c>
    </row>
    <row r="724" spans="1:19" x14ac:dyDescent="0.15">
      <c r="E724" s="52" t="s">
        <v>3</v>
      </c>
      <c r="F724" s="94">
        <f>SUM(H724:L724)</f>
        <v>14067000</v>
      </c>
      <c r="G724" s="69"/>
      <c r="H724" s="94">
        <f>SUM(H714:H723)</f>
        <v>1415000</v>
      </c>
      <c r="I724" s="75"/>
      <c r="J724" s="94">
        <f>SUM(J714:J723)</f>
        <v>11427000</v>
      </c>
      <c r="K724" s="75"/>
      <c r="L724" s="94">
        <f>SUM(L714:L723)</f>
        <v>1225000</v>
      </c>
      <c r="M724" s="75"/>
      <c r="N724" s="94">
        <f>SUM(N714:N723)</f>
        <v>8251000</v>
      </c>
      <c r="O724" s="75"/>
      <c r="P724" s="94">
        <f>SUM(P714:P723)</f>
        <v>5816000</v>
      </c>
      <c r="Q724" s="75"/>
      <c r="R724" s="94">
        <f>SUM(R714:R723)</f>
        <v>0</v>
      </c>
      <c r="S724" s="86">
        <f t="shared" si="32"/>
        <v>0</v>
      </c>
    </row>
    <row r="725" spans="1:19" x14ac:dyDescent="0.15"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86">
        <f t="shared" si="32"/>
        <v>0</v>
      </c>
    </row>
    <row r="726" spans="1:19" x14ac:dyDescent="0.15">
      <c r="C726" s="52" t="s">
        <v>369</v>
      </c>
      <c r="D726" s="52"/>
      <c r="E726" s="91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86">
        <f t="shared" si="32"/>
        <v>0</v>
      </c>
    </row>
    <row r="727" spans="1:19" x14ac:dyDescent="0.15">
      <c r="E727" s="52" t="s">
        <v>370</v>
      </c>
      <c r="F727" s="75">
        <f>SUM(H727:L727)</f>
        <v>105000</v>
      </c>
      <c r="G727" s="92"/>
      <c r="H727" s="90">
        <v>0</v>
      </c>
      <c r="I727" s="93"/>
      <c r="J727" s="90">
        <v>105000</v>
      </c>
      <c r="K727" s="93"/>
      <c r="L727" s="90">
        <v>0</v>
      </c>
      <c r="M727" s="93"/>
      <c r="N727" s="90">
        <v>73000</v>
      </c>
      <c r="O727" s="93"/>
      <c r="P727" s="90">
        <v>32000</v>
      </c>
      <c r="Q727" s="93"/>
      <c r="R727" s="90">
        <v>0</v>
      </c>
      <c r="S727" s="86">
        <f t="shared" si="32"/>
        <v>0</v>
      </c>
    </row>
    <row r="728" spans="1:19" x14ac:dyDescent="0.15">
      <c r="E728" s="52" t="s">
        <v>371</v>
      </c>
      <c r="F728" s="75">
        <f>SUM(H728:L728)</f>
        <v>39963000</v>
      </c>
      <c r="G728" s="92"/>
      <c r="H728" s="90">
        <v>0</v>
      </c>
      <c r="I728" s="93"/>
      <c r="J728" s="90">
        <v>11681000</v>
      </c>
      <c r="K728" s="93"/>
      <c r="L728" s="90">
        <v>28282000</v>
      </c>
      <c r="M728" s="93"/>
      <c r="N728" s="90">
        <f>17506000-1000</f>
        <v>17505000</v>
      </c>
      <c r="O728" s="93"/>
      <c r="P728" s="90">
        <v>22769000</v>
      </c>
      <c r="Q728" s="93"/>
      <c r="R728" s="90">
        <v>311000</v>
      </c>
      <c r="S728" s="86">
        <f t="shared" si="32"/>
        <v>0</v>
      </c>
    </row>
    <row r="729" spans="1:19" x14ac:dyDescent="0.15">
      <c r="E729" s="52" t="s">
        <v>372</v>
      </c>
      <c r="F729" s="94">
        <f>SUM(H729:L729)</f>
        <v>7411000</v>
      </c>
      <c r="G729" s="69"/>
      <c r="H729" s="95">
        <v>46000</v>
      </c>
      <c r="I729" s="90"/>
      <c r="J729" s="95">
        <v>7054000</v>
      </c>
      <c r="K729" s="90"/>
      <c r="L729" s="95">
        <v>311000</v>
      </c>
      <c r="M729" s="90"/>
      <c r="N729" s="95">
        <v>3344000</v>
      </c>
      <c r="O729" s="90"/>
      <c r="P729" s="95">
        <v>4162000</v>
      </c>
      <c r="Q729" s="90"/>
      <c r="R729" s="95">
        <v>95000</v>
      </c>
      <c r="S729" s="86">
        <f t="shared" si="32"/>
        <v>0</v>
      </c>
    </row>
    <row r="730" spans="1:19" x14ac:dyDescent="0.15"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86">
        <f t="shared" si="32"/>
        <v>0</v>
      </c>
    </row>
    <row r="731" spans="1:19" x14ac:dyDescent="0.15">
      <c r="E731" s="52" t="s">
        <v>3</v>
      </c>
      <c r="F731" s="94">
        <f>SUM(H731:L731)</f>
        <v>47479000</v>
      </c>
      <c r="G731" s="69"/>
      <c r="H731" s="94">
        <f>SUM(H727:H730)</f>
        <v>46000</v>
      </c>
      <c r="I731" s="75"/>
      <c r="J731" s="94">
        <f>SUM(J727:J730)</f>
        <v>18840000</v>
      </c>
      <c r="K731" s="75"/>
      <c r="L731" s="94">
        <f>SUM(L727:L730)</f>
        <v>28593000</v>
      </c>
      <c r="M731" s="75"/>
      <c r="N731" s="94">
        <f>SUM(N727:N730)</f>
        <v>20922000</v>
      </c>
      <c r="O731" s="75"/>
      <c r="P731" s="94">
        <f>SUM(P727:P730)</f>
        <v>26963000</v>
      </c>
      <c r="Q731" s="75"/>
      <c r="R731" s="94">
        <f>SUM(R727:R730)</f>
        <v>406000</v>
      </c>
      <c r="S731" s="86">
        <f t="shared" si="32"/>
        <v>0</v>
      </c>
    </row>
    <row r="732" spans="1:19" x14ac:dyDescent="0.15"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86">
        <f t="shared" si="32"/>
        <v>0</v>
      </c>
    </row>
    <row r="733" spans="1:19" x14ac:dyDescent="0.15">
      <c r="E733" s="52" t="s">
        <v>373</v>
      </c>
      <c r="F733" s="94">
        <f>SUM(H733:L733)</f>
        <v>64814000</v>
      </c>
      <c r="G733" s="69"/>
      <c r="H733" s="94">
        <f>+H705+H711+H724+H731</f>
        <v>1461000</v>
      </c>
      <c r="I733" s="75"/>
      <c r="J733" s="94">
        <f>+J705+J711+J724+J731</f>
        <v>33157000</v>
      </c>
      <c r="K733" s="75"/>
      <c r="L733" s="94">
        <f>+L705+L711+L724+L731</f>
        <v>30196000</v>
      </c>
      <c r="M733" s="75"/>
      <c r="N733" s="94">
        <f>+N705+N711+N724+N731</f>
        <v>31070000</v>
      </c>
      <c r="O733" s="75"/>
      <c r="P733" s="94">
        <f>+P705+P711+P724+P731</f>
        <v>34161000</v>
      </c>
      <c r="Q733" s="75"/>
      <c r="R733" s="94">
        <f>+R705+R711+R724+R731</f>
        <v>417000</v>
      </c>
      <c r="S733" s="86">
        <f t="shared" si="32"/>
        <v>0</v>
      </c>
    </row>
    <row r="734" spans="1:19" x14ac:dyDescent="0.15">
      <c r="A734" s="88"/>
      <c r="B734" s="88"/>
      <c r="C734" s="88"/>
      <c r="D734" s="88"/>
      <c r="E734" s="88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86">
        <f t="shared" si="32"/>
        <v>0</v>
      </c>
    </row>
    <row r="735" spans="1:19" x14ac:dyDescent="0.15">
      <c r="A735" s="88"/>
      <c r="B735" s="53" t="s">
        <v>374</v>
      </c>
      <c r="C735" s="88"/>
      <c r="D735" s="88"/>
      <c r="E735" s="88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86">
        <f t="shared" si="32"/>
        <v>0</v>
      </c>
    </row>
    <row r="736" spans="1:19" x14ac:dyDescent="0.15">
      <c r="B736" s="78"/>
      <c r="C736" s="53" t="s">
        <v>375</v>
      </c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86">
        <f t="shared" si="32"/>
        <v>0</v>
      </c>
    </row>
    <row r="737" spans="1:19" x14ac:dyDescent="0.15">
      <c r="B737" s="52"/>
      <c r="C737" s="52" t="s">
        <v>376</v>
      </c>
      <c r="D737" s="86"/>
      <c r="E737" s="91"/>
      <c r="F737" s="75">
        <f>SUM(H737:L737)</f>
        <v>2089000</v>
      </c>
      <c r="G737" s="92"/>
      <c r="H737" s="90">
        <v>295000</v>
      </c>
      <c r="I737" s="93"/>
      <c r="J737" s="90">
        <v>1625000</v>
      </c>
      <c r="K737" s="93"/>
      <c r="L737" s="90">
        <v>169000</v>
      </c>
      <c r="M737" s="93"/>
      <c r="N737" s="90">
        <v>1325000</v>
      </c>
      <c r="O737" s="93"/>
      <c r="P737" s="90">
        <v>764000</v>
      </c>
      <c r="Q737" s="93"/>
      <c r="R737" s="90">
        <v>0</v>
      </c>
      <c r="S737" s="86">
        <f t="shared" si="32"/>
        <v>0</v>
      </c>
    </row>
    <row r="738" spans="1:19" x14ac:dyDescent="0.15">
      <c r="C738" s="52" t="s">
        <v>377</v>
      </c>
      <c r="D738" s="52"/>
      <c r="E738" s="91"/>
      <c r="F738" s="75">
        <f>SUM(H738:L738)</f>
        <v>453000</v>
      </c>
      <c r="G738" s="92"/>
      <c r="H738" s="90">
        <v>0</v>
      </c>
      <c r="I738" s="93"/>
      <c r="J738" s="90">
        <v>4000</v>
      </c>
      <c r="K738" s="93"/>
      <c r="L738" s="90">
        <v>449000</v>
      </c>
      <c r="M738" s="93"/>
      <c r="N738" s="90">
        <v>129000</v>
      </c>
      <c r="O738" s="93"/>
      <c r="P738" s="90">
        <v>324000</v>
      </c>
      <c r="Q738" s="93"/>
      <c r="R738" s="90">
        <v>0</v>
      </c>
      <c r="S738" s="86">
        <f t="shared" si="32"/>
        <v>0</v>
      </c>
    </row>
    <row r="739" spans="1:19" x14ac:dyDescent="0.15">
      <c r="C739" s="52" t="s">
        <v>523</v>
      </c>
      <c r="D739" s="52"/>
      <c r="E739" s="91"/>
      <c r="F739" s="75">
        <f>SUM(H739:L739)</f>
        <v>823000</v>
      </c>
      <c r="G739" s="92"/>
      <c r="H739" s="90">
        <v>285000</v>
      </c>
      <c r="I739" s="93"/>
      <c r="J739" s="90">
        <v>236000</v>
      </c>
      <c r="K739" s="93"/>
      <c r="L739" s="90">
        <v>302000</v>
      </c>
      <c r="M739" s="93"/>
      <c r="N739" s="90">
        <v>481000</v>
      </c>
      <c r="O739" s="93"/>
      <c r="P739" s="90">
        <f>343000-1000</f>
        <v>342000</v>
      </c>
      <c r="Q739" s="93"/>
      <c r="R739" s="90">
        <v>0</v>
      </c>
      <c r="S739" s="86">
        <f t="shared" si="32"/>
        <v>0</v>
      </c>
    </row>
    <row r="740" spans="1:19" x14ac:dyDescent="0.15">
      <c r="C740" s="52" t="s">
        <v>379</v>
      </c>
      <c r="D740" s="52"/>
      <c r="E740" s="91"/>
      <c r="F740" s="94">
        <f>SUM(H740:L740)</f>
        <v>2921000</v>
      </c>
      <c r="G740" s="69"/>
      <c r="H740" s="95">
        <v>1344000</v>
      </c>
      <c r="I740" s="90"/>
      <c r="J740" s="95">
        <v>1498000</v>
      </c>
      <c r="K740" s="90"/>
      <c r="L740" s="95">
        <v>79000</v>
      </c>
      <c r="M740" s="90"/>
      <c r="N740" s="95">
        <f>2061000-1000</f>
        <v>2060000</v>
      </c>
      <c r="O740" s="90"/>
      <c r="P740" s="95">
        <f>859000+2000</f>
        <v>861000</v>
      </c>
      <c r="Q740" s="90"/>
      <c r="R740" s="95">
        <v>0</v>
      </c>
      <c r="S740" s="86">
        <f t="shared" si="32"/>
        <v>0</v>
      </c>
    </row>
    <row r="741" spans="1:19" x14ac:dyDescent="0.15"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86">
        <f t="shared" si="32"/>
        <v>0</v>
      </c>
    </row>
    <row r="742" spans="1:19" x14ac:dyDescent="0.15">
      <c r="E742" s="52" t="s">
        <v>3</v>
      </c>
      <c r="F742" s="94">
        <f>SUM(H742:L742)</f>
        <v>6286000</v>
      </c>
      <c r="G742" s="69"/>
      <c r="H742" s="94">
        <f>SUM(H737:H741)</f>
        <v>1924000</v>
      </c>
      <c r="I742" s="75"/>
      <c r="J742" s="94">
        <f>SUM(J737:J741)</f>
        <v>3363000</v>
      </c>
      <c r="K742" s="75"/>
      <c r="L742" s="94">
        <f>SUM(L737:L741)</f>
        <v>999000</v>
      </c>
      <c r="M742" s="75"/>
      <c r="N742" s="94">
        <f>SUM(N737:N741)</f>
        <v>3995000</v>
      </c>
      <c r="O742" s="75"/>
      <c r="P742" s="94">
        <f>SUM(P737:P741)</f>
        <v>2291000</v>
      </c>
      <c r="Q742" s="75"/>
      <c r="R742" s="94">
        <f>SUM(R737:R741)</f>
        <v>0</v>
      </c>
      <c r="S742" s="86">
        <f t="shared" si="32"/>
        <v>0</v>
      </c>
    </row>
    <row r="743" spans="1:19" x14ac:dyDescent="0.15">
      <c r="A743" s="88"/>
      <c r="B743" s="88"/>
      <c r="C743" s="88"/>
      <c r="D743" s="88"/>
      <c r="E743" s="88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86">
        <f t="shared" si="32"/>
        <v>0</v>
      </c>
    </row>
    <row r="744" spans="1:19" x14ac:dyDescent="0.15">
      <c r="A744" s="88"/>
      <c r="B744" s="53" t="s">
        <v>380</v>
      </c>
      <c r="C744" s="88"/>
      <c r="D744" s="88"/>
      <c r="E744" s="88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86">
        <f t="shared" si="32"/>
        <v>0</v>
      </c>
    </row>
    <row r="745" spans="1:19" x14ac:dyDescent="0.15">
      <c r="B745" s="78"/>
      <c r="C745" s="53" t="s">
        <v>381</v>
      </c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86">
        <f t="shared" si="32"/>
        <v>0</v>
      </c>
    </row>
    <row r="746" spans="1:19" x14ac:dyDescent="0.15">
      <c r="C746" s="53" t="s">
        <v>382</v>
      </c>
      <c r="F746" s="75">
        <f>SUM(H746:L746)</f>
        <v>3490000</v>
      </c>
      <c r="G746" s="92"/>
      <c r="H746" s="90">
        <v>0</v>
      </c>
      <c r="I746" s="93"/>
      <c r="J746" s="90">
        <v>3061000</v>
      </c>
      <c r="K746" s="93"/>
      <c r="L746" s="90">
        <v>429000</v>
      </c>
      <c r="M746" s="93"/>
      <c r="N746" s="90">
        <v>2201000</v>
      </c>
      <c r="O746" s="93"/>
      <c r="P746" s="90">
        <v>1289000</v>
      </c>
      <c r="Q746" s="93"/>
      <c r="R746" s="90">
        <v>0</v>
      </c>
      <c r="S746" s="86">
        <f t="shared" si="32"/>
        <v>0</v>
      </c>
    </row>
    <row r="747" spans="1:19" x14ac:dyDescent="0.15">
      <c r="C747" s="52" t="s">
        <v>383</v>
      </c>
      <c r="F747" s="75">
        <f>SUM(H747:L747)</f>
        <v>3042000</v>
      </c>
      <c r="G747" s="92"/>
      <c r="H747" s="90">
        <v>1512000</v>
      </c>
      <c r="I747" s="93"/>
      <c r="J747" s="90">
        <v>800000</v>
      </c>
      <c r="K747" s="93"/>
      <c r="L747" s="90">
        <v>730000</v>
      </c>
      <c r="M747" s="93"/>
      <c r="N747" s="90">
        <v>2072000</v>
      </c>
      <c r="O747" s="93"/>
      <c r="P747" s="90">
        <v>970000</v>
      </c>
      <c r="Q747" s="93"/>
      <c r="R747" s="90">
        <v>0</v>
      </c>
      <c r="S747" s="86">
        <f t="shared" si="32"/>
        <v>0</v>
      </c>
    </row>
    <row r="748" spans="1:19" x14ac:dyDescent="0.15">
      <c r="C748" s="52" t="s">
        <v>384</v>
      </c>
      <c r="G748" s="69"/>
      <c r="H748" s="90"/>
      <c r="I748" s="90"/>
      <c r="J748" s="90"/>
      <c r="K748" s="90"/>
      <c r="L748" s="90"/>
      <c r="M748" s="90"/>
      <c r="N748" s="90"/>
      <c r="O748" s="90"/>
      <c r="P748" s="90"/>
      <c r="Q748" s="90"/>
      <c r="R748" s="90"/>
      <c r="S748" s="86">
        <f t="shared" si="32"/>
        <v>0</v>
      </c>
    </row>
    <row r="749" spans="1:19" x14ac:dyDescent="0.15">
      <c r="C749" s="52"/>
      <c r="E749" s="52" t="s">
        <v>385</v>
      </c>
      <c r="F749" s="94">
        <f>SUM(H749:L749)</f>
        <v>909000</v>
      </c>
      <c r="G749" s="69"/>
      <c r="H749" s="95">
        <v>19000</v>
      </c>
      <c r="I749" s="90"/>
      <c r="J749" s="95">
        <v>888000</v>
      </c>
      <c r="K749" s="90"/>
      <c r="L749" s="95">
        <f>3000-1000</f>
        <v>2000</v>
      </c>
      <c r="M749" s="90"/>
      <c r="N749" s="95">
        <v>1510000</v>
      </c>
      <c r="O749" s="90"/>
      <c r="P749" s="95">
        <v>967000</v>
      </c>
      <c r="Q749" s="90"/>
      <c r="R749" s="95">
        <v>1568000</v>
      </c>
      <c r="S749" s="86">
        <f t="shared" si="32"/>
        <v>0</v>
      </c>
    </row>
    <row r="750" spans="1:19" x14ac:dyDescent="0.15"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86">
        <f t="shared" si="32"/>
        <v>0</v>
      </c>
    </row>
    <row r="751" spans="1:19" x14ac:dyDescent="0.15">
      <c r="E751" s="52" t="s">
        <v>3</v>
      </c>
      <c r="F751" s="94">
        <f>SUM(H751:L751)</f>
        <v>7441000</v>
      </c>
      <c r="G751" s="69"/>
      <c r="H751" s="94">
        <f>SUM(H745:H750)</f>
        <v>1531000</v>
      </c>
      <c r="I751" s="75"/>
      <c r="J751" s="94">
        <f>SUM(J745:J750)</f>
        <v>4749000</v>
      </c>
      <c r="K751" s="75"/>
      <c r="L751" s="94">
        <f>SUM(L745:L750)</f>
        <v>1161000</v>
      </c>
      <c r="M751" s="75"/>
      <c r="N751" s="94">
        <f>SUM(N745:N750)</f>
        <v>5783000</v>
      </c>
      <c r="O751" s="75"/>
      <c r="P751" s="94">
        <f>SUM(P745:P750)</f>
        <v>3226000</v>
      </c>
      <c r="Q751" s="75"/>
      <c r="R751" s="94">
        <f>SUM(R745:R750)</f>
        <v>1568000</v>
      </c>
      <c r="S751" s="86">
        <f t="shared" si="32"/>
        <v>0</v>
      </c>
    </row>
    <row r="752" spans="1:19" x14ac:dyDescent="0.15">
      <c r="A752" s="88"/>
      <c r="B752" s="88"/>
      <c r="C752" s="88"/>
      <c r="D752" s="88"/>
      <c r="E752" s="88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86">
        <f t="shared" si="32"/>
        <v>0</v>
      </c>
    </row>
    <row r="753" spans="1:19" ht="20.25" customHeight="1" x14ac:dyDescent="0.15">
      <c r="B753" s="53" t="s">
        <v>386</v>
      </c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86">
        <f t="shared" si="32"/>
        <v>0</v>
      </c>
    </row>
    <row r="754" spans="1:19" x14ac:dyDescent="0.15">
      <c r="C754" s="52" t="s">
        <v>387</v>
      </c>
      <c r="D754" s="52"/>
      <c r="E754" s="91"/>
      <c r="F754" s="75">
        <f>SUM(H754:L754)</f>
        <v>4474000</v>
      </c>
      <c r="G754" s="92"/>
      <c r="H754" s="90">
        <v>4347000</v>
      </c>
      <c r="I754" s="93"/>
      <c r="J754" s="90">
        <v>-77000</v>
      </c>
      <c r="K754" s="93"/>
      <c r="L754" s="90">
        <v>204000</v>
      </c>
      <c r="M754" s="93"/>
      <c r="N754" s="90">
        <v>3623000</v>
      </c>
      <c r="O754" s="93"/>
      <c r="P754" s="90">
        <f>850000+1000</f>
        <v>851000</v>
      </c>
      <c r="Q754" s="93"/>
      <c r="R754" s="90">
        <v>0</v>
      </c>
      <c r="S754" s="86">
        <f t="shared" si="32"/>
        <v>0</v>
      </c>
    </row>
    <row r="755" spans="1:19" x14ac:dyDescent="0.15">
      <c r="C755" s="52" t="s">
        <v>388</v>
      </c>
      <c r="D755" s="52"/>
      <c r="E755" s="91"/>
      <c r="F755" s="94">
        <f>SUM(H755:L755)</f>
        <v>138000</v>
      </c>
      <c r="G755" s="69"/>
      <c r="H755" s="95">
        <v>75000</v>
      </c>
      <c r="I755" s="90"/>
      <c r="J755" s="95">
        <v>26000</v>
      </c>
      <c r="K755" s="90"/>
      <c r="L755" s="95">
        <v>37000</v>
      </c>
      <c r="M755" s="90"/>
      <c r="N755" s="95">
        <v>24000</v>
      </c>
      <c r="O755" s="90"/>
      <c r="P755" s="95">
        <v>114000</v>
      </c>
      <c r="Q755" s="90"/>
      <c r="R755" s="95">
        <v>0</v>
      </c>
      <c r="S755" s="86">
        <f t="shared" si="32"/>
        <v>0</v>
      </c>
    </row>
    <row r="756" spans="1:19" x14ac:dyDescent="0.15"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86">
        <f t="shared" si="32"/>
        <v>0</v>
      </c>
    </row>
    <row r="757" spans="1:19" x14ac:dyDescent="0.15">
      <c r="E757" s="52" t="s">
        <v>3</v>
      </c>
      <c r="F757" s="94">
        <f>SUM(H757:L757)</f>
        <v>4612000</v>
      </c>
      <c r="G757" s="69"/>
      <c r="H757" s="94">
        <f>SUM(H754:H756)</f>
        <v>4422000</v>
      </c>
      <c r="I757" s="75"/>
      <c r="J757" s="94">
        <f>SUM(J754:J756)</f>
        <v>-51000</v>
      </c>
      <c r="K757" s="75"/>
      <c r="L757" s="94">
        <f>SUM(L754:L756)</f>
        <v>241000</v>
      </c>
      <c r="M757" s="75"/>
      <c r="N757" s="94">
        <f>SUM(N754:N756)</f>
        <v>3647000</v>
      </c>
      <c r="O757" s="75"/>
      <c r="P757" s="94">
        <f>SUM(P754:P756)</f>
        <v>965000</v>
      </c>
      <c r="Q757" s="75"/>
      <c r="R757" s="94">
        <f>SUM(R754:R756)</f>
        <v>0</v>
      </c>
      <c r="S757" s="86">
        <f t="shared" si="32"/>
        <v>0</v>
      </c>
    </row>
    <row r="758" spans="1:19" x14ac:dyDescent="0.15">
      <c r="A758" s="88"/>
      <c r="B758" s="88"/>
      <c r="C758" s="88"/>
      <c r="D758" s="88"/>
      <c r="E758" s="88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86">
        <f t="shared" si="32"/>
        <v>0</v>
      </c>
    </row>
    <row r="759" spans="1:19" x14ac:dyDescent="0.15">
      <c r="A759" s="88"/>
      <c r="B759" s="53" t="s">
        <v>389</v>
      </c>
      <c r="E759" s="88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86">
        <f t="shared" si="32"/>
        <v>0</v>
      </c>
    </row>
    <row r="760" spans="1:19" x14ac:dyDescent="0.15">
      <c r="A760" s="88"/>
      <c r="C760" s="78" t="s">
        <v>390</v>
      </c>
      <c r="E760" s="88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86">
        <f t="shared" si="32"/>
        <v>0</v>
      </c>
    </row>
    <row r="761" spans="1:19" x14ac:dyDescent="0.15">
      <c r="A761" s="88"/>
      <c r="C761" s="53" t="s">
        <v>391</v>
      </c>
      <c r="E761" s="88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86">
        <f t="shared" si="32"/>
        <v>0</v>
      </c>
    </row>
    <row r="762" spans="1:19" x14ac:dyDescent="0.15">
      <c r="A762" s="88"/>
      <c r="E762" s="88" t="s">
        <v>392</v>
      </c>
      <c r="F762" s="75">
        <f>SUM(H762:L762)</f>
        <v>609000</v>
      </c>
      <c r="G762" s="92"/>
      <c r="H762" s="90">
        <v>598000</v>
      </c>
      <c r="I762" s="93"/>
      <c r="J762" s="90">
        <v>11000</v>
      </c>
      <c r="K762" s="93"/>
      <c r="L762" s="90">
        <v>0</v>
      </c>
      <c r="M762" s="93"/>
      <c r="N762" s="90">
        <v>396000</v>
      </c>
      <c r="O762" s="93"/>
      <c r="P762" s="90">
        <v>213000</v>
      </c>
      <c r="Q762" s="93"/>
      <c r="R762" s="90">
        <v>0</v>
      </c>
      <c r="S762" s="86">
        <f t="shared" si="32"/>
        <v>0</v>
      </c>
    </row>
    <row r="763" spans="1:19" x14ac:dyDescent="0.15">
      <c r="A763" s="88"/>
      <c r="C763" s="53" t="s">
        <v>393</v>
      </c>
      <c r="E763" s="88"/>
      <c r="F763" s="90"/>
      <c r="G763" s="90"/>
      <c r="H763" s="90"/>
      <c r="I763" s="90"/>
      <c r="J763" s="90"/>
      <c r="K763" s="90"/>
      <c r="L763" s="90"/>
      <c r="M763" s="90"/>
      <c r="N763" s="90"/>
      <c r="O763" s="90"/>
      <c r="P763" s="90"/>
      <c r="Q763" s="90"/>
      <c r="R763" s="90"/>
      <c r="S763" s="86">
        <f t="shared" si="32"/>
        <v>0</v>
      </c>
    </row>
    <row r="764" spans="1:19" x14ac:dyDescent="0.15">
      <c r="A764" s="88"/>
      <c r="E764" s="88" t="s">
        <v>394</v>
      </c>
      <c r="F764" s="75">
        <f>SUM(H764:L764)</f>
        <v>3608000</v>
      </c>
      <c r="G764" s="92"/>
      <c r="H764" s="90">
        <v>3551000</v>
      </c>
      <c r="I764" s="93"/>
      <c r="J764" s="90">
        <v>49000</v>
      </c>
      <c r="K764" s="93"/>
      <c r="L764" s="90">
        <v>8000</v>
      </c>
      <c r="M764" s="93"/>
      <c r="N764" s="90">
        <v>2359000</v>
      </c>
      <c r="O764" s="93"/>
      <c r="P764" s="90">
        <v>1249000</v>
      </c>
      <c r="Q764" s="93"/>
      <c r="R764" s="90">
        <v>0</v>
      </c>
      <c r="S764" s="86">
        <f t="shared" si="32"/>
        <v>0</v>
      </c>
    </row>
    <row r="765" spans="1:19" x14ac:dyDescent="0.15">
      <c r="A765" s="88"/>
      <c r="C765" s="53" t="s">
        <v>395</v>
      </c>
      <c r="E765" s="88"/>
      <c r="F765" s="94">
        <f>SUM(H765:L765)</f>
        <v>3691000</v>
      </c>
      <c r="G765" s="69"/>
      <c r="H765" s="95">
        <v>1675000</v>
      </c>
      <c r="I765" s="90"/>
      <c r="J765" s="95">
        <v>1979000</v>
      </c>
      <c r="K765" s="90"/>
      <c r="L765" s="95">
        <v>37000</v>
      </c>
      <c r="M765" s="90"/>
      <c r="N765" s="95">
        <v>2237000</v>
      </c>
      <c r="O765" s="90"/>
      <c r="P765" s="95">
        <v>1454000</v>
      </c>
      <c r="Q765" s="90"/>
      <c r="R765" s="95">
        <v>0</v>
      </c>
      <c r="S765" s="86">
        <f t="shared" si="32"/>
        <v>0</v>
      </c>
    </row>
    <row r="766" spans="1:19" x14ac:dyDescent="0.15">
      <c r="A766" s="88"/>
      <c r="E766" s="88"/>
      <c r="F766" s="90"/>
      <c r="G766" s="90"/>
      <c r="H766" s="90"/>
      <c r="I766" s="90"/>
      <c r="J766" s="90"/>
      <c r="K766" s="90"/>
      <c r="L766" s="90"/>
      <c r="M766" s="90"/>
      <c r="N766" s="90"/>
      <c r="O766" s="90"/>
      <c r="P766" s="90"/>
      <c r="Q766" s="69"/>
      <c r="R766" s="90"/>
      <c r="S766" s="86">
        <f t="shared" si="32"/>
        <v>0</v>
      </c>
    </row>
    <row r="767" spans="1:19" x14ac:dyDescent="0.15">
      <c r="B767" s="78"/>
      <c r="C767" s="86"/>
      <c r="D767" s="78"/>
      <c r="E767" s="52" t="s">
        <v>3</v>
      </c>
      <c r="F767" s="94">
        <f>SUM(H767:L767)</f>
        <v>7908000</v>
      </c>
      <c r="G767" s="69"/>
      <c r="H767" s="95">
        <f>SUM(H762:H765)</f>
        <v>5824000</v>
      </c>
      <c r="I767" s="90"/>
      <c r="J767" s="95">
        <f>SUM(J762:J765)</f>
        <v>2039000</v>
      </c>
      <c r="K767" s="90"/>
      <c r="L767" s="95">
        <f>SUM(L762:L765)</f>
        <v>45000</v>
      </c>
      <c r="M767" s="90"/>
      <c r="N767" s="95">
        <f>SUM(N762:N765)</f>
        <v>4992000</v>
      </c>
      <c r="O767" s="90"/>
      <c r="P767" s="95">
        <f>SUM(P762:P765)</f>
        <v>2916000</v>
      </c>
      <c r="Q767" s="90"/>
      <c r="R767" s="95">
        <f>SUM(R762:R765)</f>
        <v>0</v>
      </c>
      <c r="S767" s="86">
        <f t="shared" si="32"/>
        <v>0</v>
      </c>
    </row>
    <row r="768" spans="1:19" x14ac:dyDescent="0.15"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86">
        <f t="shared" si="32"/>
        <v>0</v>
      </c>
    </row>
    <row r="769" spans="1:19" x14ac:dyDescent="0.15">
      <c r="B769" s="53" t="s">
        <v>396</v>
      </c>
      <c r="F769" s="94">
        <f>SUM(H769:L769)</f>
        <v>69703000</v>
      </c>
      <c r="G769" s="69"/>
      <c r="H769" s="95">
        <v>0</v>
      </c>
      <c r="I769" s="90"/>
      <c r="J769" s="95">
        <v>69159000</v>
      </c>
      <c r="K769" s="90"/>
      <c r="L769" s="95">
        <v>544000</v>
      </c>
      <c r="M769" s="90"/>
      <c r="N769" s="95">
        <v>16850000</v>
      </c>
      <c r="O769" s="90"/>
      <c r="P769" s="95">
        <v>62289000</v>
      </c>
      <c r="Q769" s="90"/>
      <c r="R769" s="95">
        <f>9437000-1000</f>
        <v>9436000</v>
      </c>
      <c r="S769" s="86">
        <f t="shared" si="32"/>
        <v>0</v>
      </c>
    </row>
    <row r="770" spans="1:19" x14ac:dyDescent="0.15">
      <c r="A770" s="88"/>
      <c r="B770" s="88"/>
      <c r="C770" s="88"/>
      <c r="D770" s="88"/>
      <c r="E770" s="88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86">
        <f t="shared" si="32"/>
        <v>0</v>
      </c>
    </row>
    <row r="771" spans="1:19" x14ac:dyDescent="0.15">
      <c r="A771" s="88"/>
      <c r="B771" s="88" t="s">
        <v>398</v>
      </c>
      <c r="C771" s="88"/>
      <c r="D771" s="88"/>
      <c r="E771" s="88"/>
      <c r="F771" s="94">
        <f>SUM(H771:L771)</f>
        <v>17239000</v>
      </c>
      <c r="G771" s="69"/>
      <c r="H771" s="95">
        <v>1265000</v>
      </c>
      <c r="I771" s="90"/>
      <c r="J771" s="95">
        <v>15115000</v>
      </c>
      <c r="K771" s="90"/>
      <c r="L771" s="95">
        <v>859000</v>
      </c>
      <c r="M771" s="90"/>
      <c r="N771" s="95">
        <v>12502000</v>
      </c>
      <c r="O771" s="90"/>
      <c r="P771" s="95">
        <v>4786000</v>
      </c>
      <c r="Q771" s="90"/>
      <c r="R771" s="95">
        <v>49000</v>
      </c>
      <c r="S771" s="86">
        <f t="shared" si="32"/>
        <v>0</v>
      </c>
    </row>
    <row r="772" spans="1:19" x14ac:dyDescent="0.15">
      <c r="A772" s="88"/>
      <c r="B772" s="88"/>
      <c r="C772" s="88"/>
      <c r="D772" s="88"/>
      <c r="E772" s="88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86">
        <f t="shared" si="32"/>
        <v>0</v>
      </c>
    </row>
    <row r="773" spans="1:19" x14ac:dyDescent="0.15">
      <c r="A773" s="88"/>
      <c r="B773" s="53" t="s">
        <v>399</v>
      </c>
      <c r="C773" s="88"/>
      <c r="D773" s="88"/>
      <c r="E773" s="88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86">
        <f t="shared" si="32"/>
        <v>0</v>
      </c>
    </row>
    <row r="774" spans="1:19" x14ac:dyDescent="0.15">
      <c r="B774" s="78"/>
      <c r="C774" s="53" t="s">
        <v>400</v>
      </c>
      <c r="F774" s="94">
        <f>SUM(H774:L774)</f>
        <v>-415000</v>
      </c>
      <c r="G774" s="69"/>
      <c r="H774" s="95">
        <f>813000-3000</f>
        <v>810000</v>
      </c>
      <c r="I774" s="90"/>
      <c r="J774" s="95">
        <f>-1182000-1000</f>
        <v>-1183000</v>
      </c>
      <c r="K774" s="90"/>
      <c r="L774" s="95">
        <f>-47000+1000+1000+3000</f>
        <v>-42000</v>
      </c>
      <c r="M774" s="90"/>
      <c r="N774" s="95">
        <f>-393000+1000+1000</f>
        <v>-391000</v>
      </c>
      <c r="O774" s="90"/>
      <c r="P774" s="95">
        <f>-23000-1000</f>
        <v>-24000</v>
      </c>
      <c r="Q774" s="90"/>
      <c r="R774" s="95">
        <v>0</v>
      </c>
      <c r="S774" s="86">
        <f t="shared" si="32"/>
        <v>0</v>
      </c>
    </row>
    <row r="775" spans="1:19" x14ac:dyDescent="0.15">
      <c r="A775" s="88"/>
      <c r="B775" s="88"/>
      <c r="C775" s="88"/>
      <c r="D775" s="88"/>
      <c r="E775" s="88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86">
        <f t="shared" si="32"/>
        <v>0</v>
      </c>
    </row>
    <row r="776" spans="1:19" x14ac:dyDescent="0.15">
      <c r="A776" s="88"/>
      <c r="B776" s="53" t="s">
        <v>519</v>
      </c>
      <c r="C776" s="88"/>
      <c r="D776" s="88"/>
      <c r="E776" s="88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86">
        <f t="shared" ref="S776:S839" si="34">+F776-N776-P776+R776</f>
        <v>0</v>
      </c>
    </row>
    <row r="777" spans="1:19" x14ac:dyDescent="0.15">
      <c r="B777" s="78"/>
      <c r="C777" s="53" t="s">
        <v>518</v>
      </c>
      <c r="F777" s="94">
        <f>SUM(H777:L777)</f>
        <v>0</v>
      </c>
      <c r="G777" s="69"/>
      <c r="H777" s="95">
        <v>-16424000</v>
      </c>
      <c r="I777" s="90"/>
      <c r="J777" s="95">
        <v>16424000</v>
      </c>
      <c r="K777" s="90"/>
      <c r="L777" s="95">
        <v>0</v>
      </c>
      <c r="M777" s="90"/>
      <c r="N777" s="95">
        <v>0</v>
      </c>
      <c r="O777" s="90"/>
      <c r="P777" s="95">
        <v>0</v>
      </c>
      <c r="Q777" s="90"/>
      <c r="R777" s="95">
        <v>0</v>
      </c>
      <c r="S777" s="86">
        <f t="shared" si="34"/>
        <v>0</v>
      </c>
    </row>
    <row r="778" spans="1:19" x14ac:dyDescent="0.15">
      <c r="B778" s="78"/>
      <c r="G778" s="69"/>
      <c r="H778" s="90"/>
      <c r="I778" s="90"/>
      <c r="J778" s="90"/>
      <c r="K778" s="90"/>
      <c r="L778" s="90"/>
      <c r="M778" s="90"/>
      <c r="N778" s="90"/>
      <c r="O778" s="90"/>
      <c r="P778" s="90"/>
      <c r="Q778" s="90"/>
      <c r="R778" s="90"/>
      <c r="S778" s="86">
        <f t="shared" si="34"/>
        <v>0</v>
      </c>
    </row>
    <row r="779" spans="1:19" x14ac:dyDescent="0.15">
      <c r="E779" s="52" t="s">
        <v>401</v>
      </c>
      <c r="F779" s="94">
        <f>SUM(H779:L779)</f>
        <v>178658200.84999996</v>
      </c>
      <c r="G779" s="69"/>
      <c r="H779" s="94">
        <f>+H701+H733+H742+H751+H757+H767+H769+H774+H777+H771</f>
        <v>812863.28999999911</v>
      </c>
      <c r="I779" s="75"/>
      <c r="J779" s="94">
        <f>+J701+J733+J742+J751+J757+J767+J769+J774+J777+J771</f>
        <v>143454124.07999998</v>
      </c>
      <c r="K779" s="75"/>
      <c r="L779" s="94">
        <f>+L701+L733+L742+L751+L757+L767+L769+L774+L777+L771</f>
        <v>34391213.480000004</v>
      </c>
      <c r="M779" s="75"/>
      <c r="N779" s="94">
        <f>+N701+N733+N742+N751+N757+N767+N769+N774+N777+N771</f>
        <v>79109629.579999998</v>
      </c>
      <c r="O779" s="75"/>
      <c r="P779" s="94">
        <f>+P701+P733+P742+P751+P757+P767+P769+P774+P777+P771</f>
        <v>111018571.27000001</v>
      </c>
      <c r="Q779" s="75"/>
      <c r="R779" s="94">
        <f>+R701+R733+R742+R751+R757+R767+R769+R774+R777+R771</f>
        <v>11470000</v>
      </c>
      <c r="S779" s="86">
        <f t="shared" si="34"/>
        <v>-4.4703483581542969E-8</v>
      </c>
    </row>
    <row r="780" spans="1:19" x14ac:dyDescent="0.15">
      <c r="G780" s="69"/>
      <c r="H780" s="75"/>
      <c r="I780" s="75"/>
      <c r="J780" s="75"/>
      <c r="K780" s="75"/>
      <c r="L780" s="75"/>
      <c r="M780" s="75"/>
      <c r="N780" s="75"/>
      <c r="O780" s="75"/>
      <c r="P780" s="75"/>
      <c r="Q780" s="75"/>
      <c r="R780" s="75"/>
      <c r="S780" s="86">
        <f t="shared" si="34"/>
        <v>0</v>
      </c>
    </row>
    <row r="781" spans="1:19" x14ac:dyDescent="0.15">
      <c r="A781" s="79" t="s">
        <v>402</v>
      </c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86">
        <f t="shared" si="34"/>
        <v>0</v>
      </c>
    </row>
    <row r="782" spans="1:19" x14ac:dyDescent="0.15">
      <c r="A782" s="88"/>
      <c r="B782" s="88"/>
      <c r="C782" s="88"/>
      <c r="D782" s="88"/>
      <c r="E782" s="88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86">
        <f t="shared" si="34"/>
        <v>0</v>
      </c>
    </row>
    <row r="783" spans="1:19" x14ac:dyDescent="0.15">
      <c r="B783" s="53" t="s">
        <v>403</v>
      </c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86">
        <f t="shared" si="34"/>
        <v>0</v>
      </c>
    </row>
    <row r="784" spans="1:19" x14ac:dyDescent="0.15">
      <c r="C784" s="53" t="s">
        <v>404</v>
      </c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86">
        <f t="shared" si="34"/>
        <v>0</v>
      </c>
    </row>
    <row r="785" spans="5:19" x14ac:dyDescent="0.15">
      <c r="E785" s="52" t="s">
        <v>405</v>
      </c>
      <c r="F785" s="75">
        <f>SUM(H785:L785)</f>
        <v>1401000</v>
      </c>
      <c r="G785" s="92"/>
      <c r="H785" s="90">
        <v>1111000</v>
      </c>
      <c r="I785" s="93"/>
      <c r="J785" s="90">
        <v>289000</v>
      </c>
      <c r="K785" s="93"/>
      <c r="L785" s="90">
        <v>1000</v>
      </c>
      <c r="M785" s="93"/>
      <c r="N785" s="90">
        <v>783000</v>
      </c>
      <c r="O785" s="93"/>
      <c r="P785" s="90">
        <v>618000</v>
      </c>
      <c r="Q785" s="93"/>
      <c r="R785" s="90">
        <v>0</v>
      </c>
      <c r="S785" s="86">
        <f t="shared" si="34"/>
        <v>0</v>
      </c>
    </row>
    <row r="786" spans="5:19" x14ac:dyDescent="0.15">
      <c r="E786" s="52" t="s">
        <v>406</v>
      </c>
      <c r="G786" s="69"/>
      <c r="H786" s="90"/>
      <c r="I786" s="90"/>
      <c r="J786" s="90"/>
      <c r="K786" s="90"/>
      <c r="L786" s="90"/>
      <c r="M786" s="90"/>
      <c r="N786" s="90"/>
      <c r="O786" s="90"/>
      <c r="P786" s="90"/>
      <c r="Q786" s="90"/>
      <c r="R786" s="90"/>
      <c r="S786" s="86">
        <f t="shared" si="34"/>
        <v>0</v>
      </c>
    </row>
    <row r="787" spans="5:19" x14ac:dyDescent="0.15">
      <c r="E787" s="52" t="s">
        <v>407</v>
      </c>
      <c r="F787" s="75">
        <f>SUM(H787:L787)</f>
        <v>1000000</v>
      </c>
      <c r="G787" s="92"/>
      <c r="H787" s="90">
        <v>0</v>
      </c>
      <c r="I787" s="93"/>
      <c r="J787" s="90">
        <v>1000000</v>
      </c>
      <c r="K787" s="93"/>
      <c r="L787" s="90">
        <v>0</v>
      </c>
      <c r="M787" s="93"/>
      <c r="N787" s="90">
        <v>712000</v>
      </c>
      <c r="O787" s="93"/>
      <c r="P787" s="90">
        <v>288000</v>
      </c>
      <c r="Q787" s="93"/>
      <c r="R787" s="90">
        <v>0</v>
      </c>
      <c r="S787" s="86">
        <f t="shared" si="34"/>
        <v>0</v>
      </c>
    </row>
    <row r="788" spans="5:19" x14ac:dyDescent="0.15">
      <c r="E788" s="52" t="s">
        <v>408</v>
      </c>
      <c r="G788" s="69"/>
      <c r="H788" s="90"/>
      <c r="I788" s="90"/>
      <c r="J788" s="90"/>
      <c r="K788" s="90"/>
      <c r="L788" s="90"/>
      <c r="M788" s="90"/>
      <c r="N788" s="90"/>
      <c r="O788" s="90"/>
      <c r="P788" s="90"/>
      <c r="Q788" s="90"/>
      <c r="R788" s="90"/>
      <c r="S788" s="86">
        <f t="shared" si="34"/>
        <v>0</v>
      </c>
    </row>
    <row r="789" spans="5:19" x14ac:dyDescent="0.15">
      <c r="E789" s="52" t="s">
        <v>409</v>
      </c>
      <c r="F789" s="75">
        <f>SUM(H789:L789)</f>
        <v>-3323000</v>
      </c>
      <c r="G789" s="92"/>
      <c r="H789" s="90">
        <v>0</v>
      </c>
      <c r="I789" s="93"/>
      <c r="J789" s="90">
        <v>-3323000</v>
      </c>
      <c r="K789" s="93"/>
      <c r="L789" s="90">
        <v>0</v>
      </c>
      <c r="M789" s="93"/>
      <c r="N789" s="90">
        <v>0</v>
      </c>
      <c r="O789" s="93"/>
      <c r="P789" s="90">
        <v>-3323000</v>
      </c>
      <c r="Q789" s="93"/>
      <c r="R789" s="90">
        <v>0</v>
      </c>
      <c r="S789" s="86">
        <f t="shared" si="34"/>
        <v>0</v>
      </c>
    </row>
    <row r="790" spans="5:19" x14ac:dyDescent="0.15">
      <c r="E790" s="52" t="s">
        <v>410</v>
      </c>
      <c r="F790" s="75">
        <f>SUM(H790:L790)</f>
        <v>6287000</v>
      </c>
      <c r="G790" s="92"/>
      <c r="H790" s="90">
        <v>3999000</v>
      </c>
      <c r="I790" s="93"/>
      <c r="J790" s="90">
        <v>2275000</v>
      </c>
      <c r="K790" s="93"/>
      <c r="L790" s="90">
        <v>13000</v>
      </c>
      <c r="M790" s="93"/>
      <c r="N790" s="90">
        <v>2969000</v>
      </c>
      <c r="O790" s="93"/>
      <c r="P790" s="90">
        <v>3318000</v>
      </c>
      <c r="Q790" s="93"/>
      <c r="R790" s="90">
        <v>0</v>
      </c>
      <c r="S790" s="86">
        <f t="shared" si="34"/>
        <v>0</v>
      </c>
    </row>
    <row r="791" spans="5:19" x14ac:dyDescent="0.15">
      <c r="E791" s="52" t="s">
        <v>411</v>
      </c>
      <c r="F791" s="75">
        <f>SUM(H791:L791)</f>
        <v>578000</v>
      </c>
      <c r="G791" s="92"/>
      <c r="H791" s="90">
        <v>483000</v>
      </c>
      <c r="I791" s="93"/>
      <c r="J791" s="90">
        <v>95000</v>
      </c>
      <c r="K791" s="93"/>
      <c r="L791" s="90">
        <v>0</v>
      </c>
      <c r="M791" s="93"/>
      <c r="N791" s="90">
        <v>310000</v>
      </c>
      <c r="O791" s="93"/>
      <c r="P791" s="90">
        <v>268000</v>
      </c>
      <c r="Q791" s="93"/>
      <c r="R791" s="90">
        <v>0</v>
      </c>
      <c r="S791" s="86">
        <f t="shared" si="34"/>
        <v>0</v>
      </c>
    </row>
    <row r="792" spans="5:19" x14ac:dyDescent="0.15">
      <c r="E792" s="52" t="s">
        <v>412</v>
      </c>
      <c r="S792" s="86">
        <f t="shared" si="34"/>
        <v>0</v>
      </c>
    </row>
    <row r="793" spans="5:19" x14ac:dyDescent="0.15">
      <c r="E793" s="52" t="s">
        <v>413</v>
      </c>
      <c r="F793" s="75">
        <f>SUM(H793:L793)</f>
        <v>1731000</v>
      </c>
      <c r="G793" s="92"/>
      <c r="H793" s="90">
        <v>1557000</v>
      </c>
      <c r="I793" s="93"/>
      <c r="J793" s="90">
        <v>174000</v>
      </c>
      <c r="K793" s="93"/>
      <c r="L793" s="90">
        <v>0</v>
      </c>
      <c r="M793" s="93"/>
      <c r="N793" s="90">
        <v>1162000</v>
      </c>
      <c r="O793" s="93"/>
      <c r="P793" s="90">
        <v>569000</v>
      </c>
      <c r="Q793" s="93"/>
      <c r="R793" s="90">
        <v>0</v>
      </c>
      <c r="S793" s="86">
        <f t="shared" si="34"/>
        <v>0</v>
      </c>
    </row>
    <row r="794" spans="5:19" x14ac:dyDescent="0.15">
      <c r="E794" s="52" t="s">
        <v>414</v>
      </c>
      <c r="G794" s="69"/>
      <c r="H794" s="90"/>
      <c r="I794" s="90"/>
      <c r="J794" s="90"/>
      <c r="K794" s="90"/>
      <c r="L794" s="90"/>
      <c r="M794" s="90"/>
      <c r="N794" s="90"/>
      <c r="O794" s="90"/>
      <c r="P794" s="90"/>
      <c r="Q794" s="90"/>
      <c r="R794" s="90"/>
      <c r="S794" s="86">
        <f t="shared" si="34"/>
        <v>0</v>
      </c>
    </row>
    <row r="795" spans="5:19" x14ac:dyDescent="0.15">
      <c r="E795" s="52" t="s">
        <v>415</v>
      </c>
      <c r="F795" s="75">
        <f>SUM(H795:L795)</f>
        <v>3488000</v>
      </c>
      <c r="G795" s="92"/>
      <c r="H795" s="90">
        <v>57000</v>
      </c>
      <c r="I795" s="93"/>
      <c r="J795" s="90">
        <v>3431000</v>
      </c>
      <c r="K795" s="93"/>
      <c r="L795" s="90">
        <v>0</v>
      </c>
      <c r="M795" s="93"/>
      <c r="N795" s="90">
        <v>1707000</v>
      </c>
      <c r="O795" s="93"/>
      <c r="P795" s="90">
        <v>1781000</v>
      </c>
      <c r="Q795" s="93"/>
      <c r="R795" s="90">
        <v>0</v>
      </c>
      <c r="S795" s="86">
        <f t="shared" si="34"/>
        <v>0</v>
      </c>
    </row>
    <row r="796" spans="5:19" x14ac:dyDescent="0.15">
      <c r="E796" s="52" t="s">
        <v>416</v>
      </c>
      <c r="F796" s="75">
        <f>SUM(H796:L796)</f>
        <v>51000</v>
      </c>
      <c r="G796" s="92"/>
      <c r="H796" s="90">
        <v>0</v>
      </c>
      <c r="I796" s="93"/>
      <c r="J796" s="90">
        <v>51000</v>
      </c>
      <c r="K796" s="93"/>
      <c r="L796" s="90">
        <v>0</v>
      </c>
      <c r="M796" s="93"/>
      <c r="N796" s="90">
        <v>0</v>
      </c>
      <c r="O796" s="93"/>
      <c r="P796" s="90">
        <v>51000</v>
      </c>
      <c r="Q796" s="93"/>
      <c r="R796" s="90">
        <v>0</v>
      </c>
      <c r="S796" s="86">
        <f t="shared" si="34"/>
        <v>0</v>
      </c>
    </row>
    <row r="797" spans="5:19" x14ac:dyDescent="0.15">
      <c r="E797" s="52" t="s">
        <v>417</v>
      </c>
      <c r="F797" s="75">
        <f>SUM(H797:L797)</f>
        <v>158000</v>
      </c>
      <c r="G797" s="92"/>
      <c r="H797" s="90">
        <v>4000</v>
      </c>
      <c r="I797" s="93"/>
      <c r="J797" s="90">
        <v>154000</v>
      </c>
      <c r="K797" s="93"/>
      <c r="L797" s="90">
        <v>0</v>
      </c>
      <c r="M797" s="93"/>
      <c r="N797" s="90">
        <v>139000</v>
      </c>
      <c r="O797" s="93"/>
      <c r="P797" s="90">
        <f>77000-1000</f>
        <v>76000</v>
      </c>
      <c r="Q797" s="93"/>
      <c r="R797" s="90">
        <v>57000</v>
      </c>
      <c r="S797" s="86">
        <f t="shared" si="34"/>
        <v>0</v>
      </c>
    </row>
    <row r="798" spans="5:19" x14ac:dyDescent="0.15">
      <c r="E798" s="52" t="s">
        <v>418</v>
      </c>
      <c r="G798" s="69"/>
      <c r="H798" s="90"/>
      <c r="I798" s="90"/>
      <c r="J798" s="90"/>
      <c r="K798" s="90"/>
      <c r="L798" s="90"/>
      <c r="M798" s="90"/>
      <c r="N798" s="90"/>
      <c r="O798" s="90"/>
      <c r="P798" s="90"/>
      <c r="Q798" s="90"/>
      <c r="R798" s="90"/>
      <c r="S798" s="86">
        <f t="shared" si="34"/>
        <v>0</v>
      </c>
    </row>
    <row r="799" spans="5:19" x14ac:dyDescent="0.15">
      <c r="E799" s="52" t="s">
        <v>419</v>
      </c>
      <c r="F799" s="75">
        <f>SUM(H799:L799)</f>
        <v>1388000</v>
      </c>
      <c r="G799" s="92"/>
      <c r="H799" s="90">
        <v>1155000</v>
      </c>
      <c r="I799" s="93"/>
      <c r="J799" s="90">
        <v>233000</v>
      </c>
      <c r="K799" s="93"/>
      <c r="L799" s="90">
        <v>0</v>
      </c>
      <c r="M799" s="93"/>
      <c r="N799" s="90">
        <v>754000</v>
      </c>
      <c r="O799" s="93"/>
      <c r="P799" s="90">
        <v>634000</v>
      </c>
      <c r="Q799" s="93"/>
      <c r="R799" s="90">
        <v>0</v>
      </c>
      <c r="S799" s="86">
        <f t="shared" si="34"/>
        <v>0</v>
      </c>
    </row>
    <row r="800" spans="5:19" x14ac:dyDescent="0.15">
      <c r="E800" s="52" t="s">
        <v>420</v>
      </c>
      <c r="F800" s="75">
        <f>SUM(H800:L800)</f>
        <v>408000</v>
      </c>
      <c r="G800" s="92"/>
      <c r="H800" s="90">
        <v>285000</v>
      </c>
      <c r="I800" s="93"/>
      <c r="J800" s="90">
        <v>123000</v>
      </c>
      <c r="K800" s="93"/>
      <c r="L800" s="90">
        <v>0</v>
      </c>
      <c r="M800" s="93"/>
      <c r="N800" s="90">
        <v>275000</v>
      </c>
      <c r="O800" s="93"/>
      <c r="P800" s="90">
        <v>133000</v>
      </c>
      <c r="Q800" s="93"/>
      <c r="R800" s="90">
        <v>0</v>
      </c>
      <c r="S800" s="86">
        <f t="shared" si="34"/>
        <v>0</v>
      </c>
    </row>
    <row r="801" spans="3:19" x14ac:dyDescent="0.15">
      <c r="E801" s="52" t="s">
        <v>421</v>
      </c>
      <c r="F801" s="75">
        <f>SUM(H801:L801)</f>
        <v>2068000</v>
      </c>
      <c r="G801" s="92"/>
      <c r="H801" s="90">
        <v>527000</v>
      </c>
      <c r="I801" s="93"/>
      <c r="J801" s="90">
        <v>1541000</v>
      </c>
      <c r="K801" s="93"/>
      <c r="L801" s="90">
        <v>0</v>
      </c>
      <c r="M801" s="93"/>
      <c r="N801" s="90">
        <v>386000</v>
      </c>
      <c r="O801" s="93"/>
      <c r="P801" s="90">
        <v>1682000</v>
      </c>
      <c r="Q801" s="93"/>
      <c r="R801" s="90">
        <v>0</v>
      </c>
      <c r="S801" s="86">
        <f t="shared" si="34"/>
        <v>0</v>
      </c>
    </row>
    <row r="802" spans="3:19" x14ac:dyDescent="0.15">
      <c r="E802" s="52" t="s">
        <v>422</v>
      </c>
      <c r="F802" s="75">
        <f>SUM(H802:L802)</f>
        <v>2942000</v>
      </c>
      <c r="G802" s="92"/>
      <c r="H802" s="90">
        <v>0</v>
      </c>
      <c r="I802" s="93"/>
      <c r="J802" s="90">
        <v>2942000</v>
      </c>
      <c r="K802" s="93"/>
      <c r="L802" s="90">
        <v>0</v>
      </c>
      <c r="M802" s="93"/>
      <c r="N802" s="90">
        <v>876000</v>
      </c>
      <c r="O802" s="93"/>
      <c r="P802" s="90">
        <v>2066000</v>
      </c>
      <c r="Q802" s="93"/>
      <c r="R802" s="90">
        <v>0</v>
      </c>
      <c r="S802" s="86">
        <f t="shared" si="34"/>
        <v>0</v>
      </c>
    </row>
    <row r="803" spans="3:19" x14ac:dyDescent="0.15">
      <c r="E803" s="52" t="s">
        <v>423</v>
      </c>
      <c r="G803" s="69"/>
      <c r="I803" s="90"/>
      <c r="K803" s="90"/>
      <c r="M803" s="90"/>
      <c r="N803" s="90"/>
      <c r="O803" s="90"/>
      <c r="P803" s="90"/>
      <c r="Q803" s="90"/>
      <c r="R803" s="90"/>
      <c r="S803" s="86">
        <f t="shared" si="34"/>
        <v>0</v>
      </c>
    </row>
    <row r="804" spans="3:19" x14ac:dyDescent="0.15">
      <c r="E804" s="52" t="s">
        <v>424</v>
      </c>
      <c r="F804" s="75">
        <f>SUM(H804:L804)</f>
        <v>2822000</v>
      </c>
      <c r="G804" s="92"/>
      <c r="H804" s="90">
        <v>1363000</v>
      </c>
      <c r="I804" s="93"/>
      <c r="J804" s="90">
        <v>1393000</v>
      </c>
      <c r="K804" s="93"/>
      <c r="L804" s="90">
        <v>66000</v>
      </c>
      <c r="M804" s="93"/>
      <c r="N804" s="90">
        <f>1446000+1000</f>
        <v>1447000</v>
      </c>
      <c r="O804" s="93"/>
      <c r="P804" s="90">
        <v>1375000</v>
      </c>
      <c r="Q804" s="93"/>
      <c r="R804" s="90">
        <v>0</v>
      </c>
      <c r="S804" s="86">
        <f t="shared" si="34"/>
        <v>0</v>
      </c>
    </row>
    <row r="805" spans="3:19" x14ac:dyDescent="0.15">
      <c r="E805" s="52" t="s">
        <v>425</v>
      </c>
      <c r="F805" s="75">
        <f>SUM(H805:L805)</f>
        <v>1674000</v>
      </c>
      <c r="G805" s="92"/>
      <c r="H805" s="90">
        <v>478000</v>
      </c>
      <c r="I805" s="93"/>
      <c r="J805" s="90">
        <v>853000</v>
      </c>
      <c r="K805" s="93"/>
      <c r="L805" s="90">
        <f>342000+1000</f>
        <v>343000</v>
      </c>
      <c r="M805" s="93"/>
      <c r="N805" s="90">
        <v>1024000</v>
      </c>
      <c r="O805" s="93"/>
      <c r="P805" s="90">
        <v>650000</v>
      </c>
      <c r="Q805" s="93"/>
      <c r="R805" s="90">
        <v>0</v>
      </c>
      <c r="S805" s="86">
        <f t="shared" si="34"/>
        <v>0</v>
      </c>
    </row>
    <row r="806" spans="3:19" x14ac:dyDescent="0.15">
      <c r="E806" s="52" t="s">
        <v>426</v>
      </c>
      <c r="G806" s="92"/>
      <c r="H806" s="90"/>
      <c r="I806" s="93"/>
      <c r="J806" s="90"/>
      <c r="K806" s="93"/>
      <c r="L806" s="90"/>
      <c r="M806" s="93"/>
      <c r="N806" s="90"/>
      <c r="O806" s="93"/>
      <c r="P806" s="90"/>
      <c r="Q806" s="93"/>
      <c r="R806" s="90"/>
      <c r="S806" s="86">
        <f t="shared" si="34"/>
        <v>0</v>
      </c>
    </row>
    <row r="807" spans="3:19" x14ac:dyDescent="0.15">
      <c r="E807" s="52" t="s">
        <v>415</v>
      </c>
      <c r="F807" s="75">
        <f>SUM(H807:L807)</f>
        <v>1190000</v>
      </c>
      <c r="G807" s="92"/>
      <c r="H807" s="90">
        <v>1015000</v>
      </c>
      <c r="I807" s="93"/>
      <c r="J807" s="90">
        <v>175000</v>
      </c>
      <c r="K807" s="93"/>
      <c r="L807" s="90">
        <v>0</v>
      </c>
      <c r="M807" s="93"/>
      <c r="N807" s="90">
        <v>727000</v>
      </c>
      <c r="O807" s="93"/>
      <c r="P807" s="90">
        <v>463000</v>
      </c>
      <c r="Q807" s="93"/>
      <c r="R807" s="90">
        <v>0</v>
      </c>
      <c r="S807" s="86">
        <f t="shared" si="34"/>
        <v>0</v>
      </c>
    </row>
    <row r="808" spans="3:19" x14ac:dyDescent="0.15">
      <c r="E808" s="52" t="s">
        <v>427</v>
      </c>
      <c r="F808" s="75">
        <f>SUM(H808:L808)</f>
        <v>3063000</v>
      </c>
      <c r="G808" s="92"/>
      <c r="H808" s="90">
        <v>2023000</v>
      </c>
      <c r="I808" s="93"/>
      <c r="J808" s="90">
        <v>1026000</v>
      </c>
      <c r="K808" s="93"/>
      <c r="L808" s="90">
        <v>14000</v>
      </c>
      <c r="M808" s="93"/>
      <c r="N808" s="90">
        <v>1939000</v>
      </c>
      <c r="O808" s="93"/>
      <c r="P808" s="90">
        <v>1124000</v>
      </c>
      <c r="Q808" s="93"/>
      <c r="R808" s="90">
        <v>0</v>
      </c>
      <c r="S808" s="86">
        <f t="shared" si="34"/>
        <v>0</v>
      </c>
    </row>
    <row r="809" spans="3:19" x14ac:dyDescent="0.15">
      <c r="E809" s="52" t="s">
        <v>428</v>
      </c>
      <c r="F809" s="75">
        <f>SUM(H809:L809)</f>
        <v>2046000</v>
      </c>
      <c r="G809" s="92"/>
      <c r="H809" s="90">
        <v>262000</v>
      </c>
      <c r="I809" s="93"/>
      <c r="J809" s="90">
        <v>1661000</v>
      </c>
      <c r="K809" s="93"/>
      <c r="L809" s="90">
        <f>124000-1000</f>
        <v>123000</v>
      </c>
      <c r="M809" s="93"/>
      <c r="N809" s="90">
        <v>1082000</v>
      </c>
      <c r="O809" s="93"/>
      <c r="P809" s="90">
        <v>964000</v>
      </c>
      <c r="Q809" s="93"/>
      <c r="R809" s="90">
        <v>0</v>
      </c>
      <c r="S809" s="86">
        <f t="shared" si="34"/>
        <v>0</v>
      </c>
    </row>
    <row r="810" spans="3:19" x14ac:dyDescent="0.15">
      <c r="E810" s="52" t="s">
        <v>429</v>
      </c>
      <c r="G810" s="69"/>
      <c r="H810" s="90"/>
      <c r="I810" s="90"/>
      <c r="J810" s="90"/>
      <c r="K810" s="90"/>
      <c r="L810" s="90"/>
      <c r="M810" s="90"/>
      <c r="N810" s="90"/>
      <c r="O810" s="90"/>
      <c r="P810" s="90"/>
      <c r="Q810" s="90"/>
      <c r="R810" s="90"/>
      <c r="S810" s="86">
        <f t="shared" si="34"/>
        <v>0</v>
      </c>
    </row>
    <row r="811" spans="3:19" x14ac:dyDescent="0.15">
      <c r="E811" s="52" t="s">
        <v>430</v>
      </c>
      <c r="F811" s="94">
        <f>SUM(H811:L811)</f>
        <v>2505000</v>
      </c>
      <c r="G811" s="69"/>
      <c r="H811" s="95">
        <v>2000000</v>
      </c>
      <c r="I811" s="90"/>
      <c r="J811" s="95">
        <v>122000</v>
      </c>
      <c r="K811" s="90"/>
      <c r="L811" s="95">
        <v>383000</v>
      </c>
      <c r="M811" s="90"/>
      <c r="N811" s="95">
        <v>1659000</v>
      </c>
      <c r="O811" s="90"/>
      <c r="P811" s="95">
        <v>846000</v>
      </c>
      <c r="Q811" s="90"/>
      <c r="R811" s="95">
        <v>0</v>
      </c>
      <c r="S811" s="86">
        <f t="shared" si="34"/>
        <v>0</v>
      </c>
    </row>
    <row r="812" spans="3:19" x14ac:dyDescent="0.15"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86">
        <f t="shared" si="34"/>
        <v>0</v>
      </c>
    </row>
    <row r="813" spans="3:19" x14ac:dyDescent="0.15">
      <c r="E813" s="52" t="s">
        <v>3</v>
      </c>
      <c r="F813" s="94">
        <f>SUM(H813:L813)</f>
        <v>31477000</v>
      </c>
      <c r="G813" s="69"/>
      <c r="H813" s="94">
        <f>SUM(H785:H812)</f>
        <v>16319000</v>
      </c>
      <c r="I813" s="69"/>
      <c r="J813" s="94">
        <f>SUM(J785:J812)</f>
        <v>14215000</v>
      </c>
      <c r="K813" s="69"/>
      <c r="L813" s="94">
        <f>SUM(L785:L812)</f>
        <v>943000</v>
      </c>
      <c r="M813" s="69"/>
      <c r="N813" s="94">
        <f>SUM(N785:N812)</f>
        <v>17951000</v>
      </c>
      <c r="O813" s="69"/>
      <c r="P813" s="94">
        <f>SUM(P785:P812)</f>
        <v>13583000</v>
      </c>
      <c r="Q813" s="69"/>
      <c r="R813" s="94">
        <f>SUM(R785:R812)</f>
        <v>57000</v>
      </c>
      <c r="S813" s="86">
        <f t="shared" si="34"/>
        <v>0</v>
      </c>
    </row>
    <row r="814" spans="3:19" x14ac:dyDescent="0.15">
      <c r="C814" s="86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86">
        <f t="shared" si="34"/>
        <v>0</v>
      </c>
    </row>
    <row r="815" spans="3:19" x14ac:dyDescent="0.15">
      <c r="C815" s="53" t="s">
        <v>431</v>
      </c>
      <c r="D815" s="52"/>
      <c r="F815" s="94">
        <f>SUM(H815:L815)</f>
        <v>1175000</v>
      </c>
      <c r="G815" s="69"/>
      <c r="H815" s="95">
        <v>1161000</v>
      </c>
      <c r="I815" s="93"/>
      <c r="J815" s="95">
        <v>12000</v>
      </c>
      <c r="K815" s="93"/>
      <c r="L815" s="95">
        <v>2000</v>
      </c>
      <c r="M815" s="93"/>
      <c r="N815" s="95">
        <v>799000</v>
      </c>
      <c r="O815" s="93"/>
      <c r="P815" s="95">
        <v>376000</v>
      </c>
      <c r="Q815" s="93"/>
      <c r="R815" s="95">
        <v>0</v>
      </c>
      <c r="S815" s="86">
        <f t="shared" si="34"/>
        <v>0</v>
      </c>
    </row>
    <row r="816" spans="3:19" x14ac:dyDescent="0.15">
      <c r="C816" s="86"/>
      <c r="D816" s="52"/>
      <c r="G816" s="69"/>
      <c r="H816" s="75"/>
      <c r="I816" s="75"/>
      <c r="J816" s="75"/>
      <c r="K816" s="75"/>
      <c r="L816" s="75"/>
      <c r="M816" s="75"/>
      <c r="N816" s="75"/>
      <c r="O816" s="75"/>
      <c r="P816" s="75"/>
      <c r="Q816" s="75"/>
      <c r="R816" s="75"/>
      <c r="S816" s="86">
        <f t="shared" si="34"/>
        <v>0</v>
      </c>
    </row>
    <row r="817" spans="3:19" x14ac:dyDescent="0.15">
      <c r="C817" s="52" t="s">
        <v>432</v>
      </c>
      <c r="D817" s="52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86">
        <f t="shared" si="34"/>
        <v>0</v>
      </c>
    </row>
    <row r="818" spans="3:19" x14ac:dyDescent="0.15">
      <c r="E818" s="52" t="s">
        <v>433</v>
      </c>
      <c r="F818" s="75">
        <f>SUM(H818:L818)</f>
        <v>2887000</v>
      </c>
      <c r="G818" s="92"/>
      <c r="H818" s="90">
        <v>2269000</v>
      </c>
      <c r="I818" s="93"/>
      <c r="J818" s="90">
        <v>618000</v>
      </c>
      <c r="K818" s="93"/>
      <c r="L818" s="90">
        <v>0</v>
      </c>
      <c r="M818" s="93"/>
      <c r="N818" s="90">
        <v>1936000</v>
      </c>
      <c r="O818" s="93"/>
      <c r="P818" s="90">
        <v>951000</v>
      </c>
      <c r="Q818" s="93"/>
      <c r="R818" s="90">
        <v>0</v>
      </c>
      <c r="S818" s="86">
        <f t="shared" si="34"/>
        <v>0</v>
      </c>
    </row>
    <row r="819" spans="3:19" x14ac:dyDescent="0.15">
      <c r="E819" s="52" t="s">
        <v>434</v>
      </c>
      <c r="F819" s="75">
        <f>SUM(H819:L819)</f>
        <v>2092000</v>
      </c>
      <c r="G819" s="92"/>
      <c r="H819" s="90">
        <v>1031000</v>
      </c>
      <c r="I819" s="93"/>
      <c r="J819" s="90">
        <v>1061000</v>
      </c>
      <c r="K819" s="93"/>
      <c r="L819" s="90">
        <v>0</v>
      </c>
      <c r="M819" s="93"/>
      <c r="N819" s="90">
        <v>772000</v>
      </c>
      <c r="O819" s="93"/>
      <c r="P819" s="90">
        <v>1320000</v>
      </c>
      <c r="Q819" s="93"/>
      <c r="R819" s="90">
        <v>0</v>
      </c>
      <c r="S819" s="86">
        <f t="shared" si="34"/>
        <v>0</v>
      </c>
    </row>
    <row r="820" spans="3:19" x14ac:dyDescent="0.15">
      <c r="E820" s="52" t="s">
        <v>522</v>
      </c>
      <c r="F820" s="94">
        <f>SUM(H820:L820)</f>
        <v>2745000</v>
      </c>
      <c r="G820" s="69"/>
      <c r="H820" s="95">
        <v>43000</v>
      </c>
      <c r="I820" s="90"/>
      <c r="J820" s="95">
        <v>2702000</v>
      </c>
      <c r="K820" s="90"/>
      <c r="L820" s="95">
        <v>0</v>
      </c>
      <c r="M820" s="90"/>
      <c r="N820" s="95">
        <v>1852000</v>
      </c>
      <c r="O820" s="90"/>
      <c r="P820" s="95">
        <v>893000</v>
      </c>
      <c r="Q820" s="90"/>
      <c r="R820" s="95">
        <v>0</v>
      </c>
      <c r="S820" s="86">
        <f t="shared" si="34"/>
        <v>0</v>
      </c>
    </row>
    <row r="821" spans="3:19" x14ac:dyDescent="0.15">
      <c r="G821" s="69"/>
      <c r="H821" s="90"/>
      <c r="I821" s="90"/>
      <c r="J821" s="90"/>
      <c r="K821" s="90"/>
      <c r="L821" s="90"/>
      <c r="M821" s="90"/>
      <c r="N821" s="90"/>
      <c r="O821" s="90"/>
      <c r="P821" s="90"/>
      <c r="Q821" s="90"/>
      <c r="R821" s="90"/>
      <c r="S821" s="86">
        <f t="shared" si="34"/>
        <v>0</v>
      </c>
    </row>
    <row r="822" spans="3:19" x14ac:dyDescent="0.15">
      <c r="C822" s="86"/>
      <c r="D822" s="86"/>
      <c r="E822" s="52" t="s">
        <v>3</v>
      </c>
      <c r="F822" s="94">
        <f>SUM(H822:L822)</f>
        <v>7724000</v>
      </c>
      <c r="G822" s="69"/>
      <c r="H822" s="95">
        <f>SUM(H818:H820)</f>
        <v>3343000</v>
      </c>
      <c r="I822" s="90"/>
      <c r="J822" s="95">
        <f>SUM(J818:J820)</f>
        <v>4381000</v>
      </c>
      <c r="K822" s="90"/>
      <c r="L822" s="95">
        <f>SUM(L818:L820)</f>
        <v>0</v>
      </c>
      <c r="M822" s="90"/>
      <c r="N822" s="95">
        <f>SUM(N818:N820)</f>
        <v>4560000</v>
      </c>
      <c r="O822" s="90"/>
      <c r="P822" s="95">
        <f>SUM(P818:P820)</f>
        <v>3164000</v>
      </c>
      <c r="Q822" s="90"/>
      <c r="R822" s="95">
        <f>SUM(R818:R820)</f>
        <v>0</v>
      </c>
      <c r="S822" s="86">
        <f t="shared" si="34"/>
        <v>0</v>
      </c>
    </row>
    <row r="823" spans="3:19" x14ac:dyDescent="0.15"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86">
        <f t="shared" si="34"/>
        <v>0</v>
      </c>
    </row>
    <row r="824" spans="3:19" x14ac:dyDescent="0.15">
      <c r="C824" s="53" t="s">
        <v>436</v>
      </c>
      <c r="D824" s="52"/>
      <c r="E824" s="91"/>
      <c r="G824" s="69"/>
      <c r="H824" s="90"/>
      <c r="I824" s="90"/>
      <c r="J824" s="90"/>
      <c r="K824" s="90"/>
      <c r="L824" s="90"/>
      <c r="M824" s="90"/>
      <c r="N824" s="90"/>
      <c r="O824" s="90"/>
      <c r="P824" s="90"/>
      <c r="Q824" s="90"/>
      <c r="R824" s="90"/>
      <c r="S824" s="86">
        <f t="shared" si="34"/>
        <v>0</v>
      </c>
    </row>
    <row r="825" spans="3:19" x14ac:dyDescent="0.15">
      <c r="C825" s="52"/>
      <c r="D825" s="52"/>
      <c r="E825" s="91" t="s">
        <v>437</v>
      </c>
      <c r="F825" s="75">
        <f>SUM(H825:L825)</f>
        <v>6930000</v>
      </c>
      <c r="G825" s="92"/>
      <c r="H825" s="90">
        <v>2689000</v>
      </c>
      <c r="I825" s="93"/>
      <c r="J825" s="90">
        <v>4241000</v>
      </c>
      <c r="K825" s="93"/>
      <c r="L825" s="90">
        <v>0</v>
      </c>
      <c r="M825" s="93"/>
      <c r="N825" s="90">
        <v>3617000</v>
      </c>
      <c r="O825" s="93"/>
      <c r="P825" s="90">
        <f>3525000+1000</f>
        <v>3526000</v>
      </c>
      <c r="Q825" s="93"/>
      <c r="R825" s="90">
        <v>213000</v>
      </c>
      <c r="S825" s="86">
        <f t="shared" si="34"/>
        <v>0</v>
      </c>
    </row>
    <row r="826" spans="3:19" x14ac:dyDescent="0.15">
      <c r="C826" s="52"/>
      <c r="D826" s="52"/>
      <c r="E826" s="91" t="s">
        <v>438</v>
      </c>
      <c r="F826" s="75">
        <f>SUM(H826:L826)</f>
        <v>4135000</v>
      </c>
      <c r="G826" s="92"/>
      <c r="H826" s="90">
        <v>1348000</v>
      </c>
      <c r="I826" s="93"/>
      <c r="J826" s="90">
        <v>2787000</v>
      </c>
      <c r="K826" s="93"/>
      <c r="L826" s="90">
        <v>0</v>
      </c>
      <c r="M826" s="93"/>
      <c r="N826" s="90">
        <v>1511000</v>
      </c>
      <c r="O826" s="93"/>
      <c r="P826" s="90">
        <v>2624000</v>
      </c>
      <c r="Q826" s="93"/>
      <c r="R826" s="90">
        <v>0</v>
      </c>
      <c r="S826" s="86">
        <f t="shared" si="34"/>
        <v>0</v>
      </c>
    </row>
    <row r="827" spans="3:19" x14ac:dyDescent="0.15">
      <c r="C827" s="52"/>
      <c r="D827" s="52"/>
      <c r="E827" s="91" t="s">
        <v>439</v>
      </c>
      <c r="F827" s="75">
        <f>SUM(H827:L827)</f>
        <v>1528000</v>
      </c>
      <c r="G827" s="92"/>
      <c r="H827" s="90">
        <v>946000</v>
      </c>
      <c r="I827" s="93"/>
      <c r="J827" s="90">
        <v>582000</v>
      </c>
      <c r="K827" s="93"/>
      <c r="L827" s="90">
        <v>0</v>
      </c>
      <c r="M827" s="93"/>
      <c r="N827" s="90">
        <v>1026000</v>
      </c>
      <c r="O827" s="93"/>
      <c r="P827" s="90">
        <v>502000</v>
      </c>
      <c r="Q827" s="93"/>
      <c r="R827" s="90">
        <v>0</v>
      </c>
      <c r="S827" s="86">
        <f t="shared" si="34"/>
        <v>0</v>
      </c>
    </row>
    <row r="828" spans="3:19" x14ac:dyDescent="0.15">
      <c r="C828" s="52"/>
      <c r="D828" s="52"/>
      <c r="E828" s="91" t="s">
        <v>440</v>
      </c>
      <c r="F828" s="75">
        <f>SUM(H828:L828)</f>
        <v>1738000</v>
      </c>
      <c r="G828" s="92"/>
      <c r="H828" s="90">
        <v>1674000</v>
      </c>
      <c r="I828" s="93"/>
      <c r="J828" s="90">
        <v>64000</v>
      </c>
      <c r="K828" s="93"/>
      <c r="L828" s="90">
        <v>0</v>
      </c>
      <c r="M828" s="93"/>
      <c r="N828" s="90">
        <f>1253000-1000</f>
        <v>1252000</v>
      </c>
      <c r="O828" s="93"/>
      <c r="P828" s="90">
        <v>486000</v>
      </c>
      <c r="Q828" s="93"/>
      <c r="R828" s="90">
        <v>0</v>
      </c>
      <c r="S828" s="86">
        <f t="shared" si="34"/>
        <v>0</v>
      </c>
    </row>
    <row r="829" spans="3:19" x14ac:dyDescent="0.15">
      <c r="C829" s="52"/>
      <c r="D829" s="52"/>
      <c r="E829" s="91"/>
      <c r="F829" s="65"/>
      <c r="G829" s="69"/>
      <c r="H829" s="100"/>
      <c r="I829" s="90"/>
      <c r="J829" s="100"/>
      <c r="K829" s="90"/>
      <c r="L829" s="100"/>
      <c r="M829" s="90"/>
      <c r="N829" s="100"/>
      <c r="O829" s="90"/>
      <c r="P829" s="100"/>
      <c r="Q829" s="90"/>
      <c r="R829" s="100"/>
      <c r="S829" s="86">
        <f t="shared" si="34"/>
        <v>0</v>
      </c>
    </row>
    <row r="830" spans="3:19" x14ac:dyDescent="0.15">
      <c r="C830" s="52"/>
      <c r="D830" s="52"/>
      <c r="E830" s="52" t="s">
        <v>60</v>
      </c>
      <c r="F830" s="94">
        <f>SUM(H830:L830)</f>
        <v>14331000</v>
      </c>
      <c r="G830" s="69"/>
      <c r="H830" s="95">
        <f>SUM(H825:H829)</f>
        <v>6657000</v>
      </c>
      <c r="I830" s="90"/>
      <c r="J830" s="95">
        <f>SUM(J825:J829)</f>
        <v>7674000</v>
      </c>
      <c r="K830" s="90"/>
      <c r="L830" s="95">
        <f>SUM(L825:L829)</f>
        <v>0</v>
      </c>
      <c r="M830" s="90"/>
      <c r="N830" s="95">
        <f>SUM(N825:N829)</f>
        <v>7406000</v>
      </c>
      <c r="O830" s="90"/>
      <c r="P830" s="95">
        <f>SUM(P825:P829)</f>
        <v>7138000</v>
      </c>
      <c r="Q830" s="90"/>
      <c r="R830" s="95">
        <f>SUM(R825:R829)</f>
        <v>213000</v>
      </c>
      <c r="S830" s="86">
        <f t="shared" si="34"/>
        <v>0</v>
      </c>
    </row>
    <row r="831" spans="3:19" x14ac:dyDescent="0.15">
      <c r="D831" s="52"/>
      <c r="E831" s="91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86">
        <f t="shared" si="34"/>
        <v>0</v>
      </c>
    </row>
    <row r="832" spans="3:19" x14ac:dyDescent="0.15">
      <c r="C832" s="52" t="s">
        <v>441</v>
      </c>
      <c r="D832" s="52"/>
      <c r="E832" s="91"/>
      <c r="F832" s="94">
        <f>SUM(H832:L832)</f>
        <v>1360000</v>
      </c>
      <c r="G832" s="69"/>
      <c r="H832" s="95">
        <v>0</v>
      </c>
      <c r="I832" s="90"/>
      <c r="J832" s="95">
        <v>1360000</v>
      </c>
      <c r="K832" s="90"/>
      <c r="L832" s="95">
        <v>0</v>
      </c>
      <c r="M832" s="90"/>
      <c r="N832" s="95">
        <v>870000</v>
      </c>
      <c r="O832" s="90"/>
      <c r="P832" s="95">
        <v>490000</v>
      </c>
      <c r="Q832" s="90"/>
      <c r="R832" s="95">
        <v>0</v>
      </c>
      <c r="S832" s="86">
        <f t="shared" si="34"/>
        <v>0</v>
      </c>
    </row>
    <row r="833" spans="3:19" x14ac:dyDescent="0.15">
      <c r="C833" s="52"/>
      <c r="D833" s="52"/>
      <c r="E833" s="91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86">
        <f t="shared" si="34"/>
        <v>0</v>
      </c>
    </row>
    <row r="834" spans="3:19" x14ac:dyDescent="0.15">
      <c r="C834" s="52" t="s">
        <v>442</v>
      </c>
      <c r="D834" s="52"/>
      <c r="E834" s="91"/>
      <c r="F834" s="94">
        <f>SUM(H834:L834)</f>
        <v>-1644000</v>
      </c>
      <c r="G834" s="69"/>
      <c r="H834" s="95">
        <v>0</v>
      </c>
      <c r="I834" s="90"/>
      <c r="J834" s="95">
        <v>-1644000</v>
      </c>
      <c r="K834" s="90"/>
      <c r="L834" s="95">
        <v>0</v>
      </c>
      <c r="M834" s="90"/>
      <c r="N834" s="95">
        <v>1333000</v>
      </c>
      <c r="O834" s="90"/>
      <c r="P834" s="95">
        <v>-2977000</v>
      </c>
      <c r="Q834" s="90"/>
      <c r="R834" s="95">
        <v>0</v>
      </c>
      <c r="S834" s="86">
        <f t="shared" si="34"/>
        <v>0</v>
      </c>
    </row>
    <row r="835" spans="3:19" x14ac:dyDescent="0.15">
      <c r="C835" s="52"/>
      <c r="D835" s="52"/>
      <c r="E835" s="91"/>
      <c r="G835" s="69"/>
      <c r="H835" s="75"/>
      <c r="I835" s="69"/>
      <c r="J835" s="75"/>
      <c r="K835" s="75"/>
      <c r="L835" s="75"/>
      <c r="M835" s="75"/>
      <c r="N835" s="75"/>
      <c r="O835" s="75"/>
      <c r="P835" s="75"/>
      <c r="Q835" s="69"/>
      <c r="R835" s="75"/>
      <c r="S835" s="86">
        <f t="shared" si="34"/>
        <v>0</v>
      </c>
    </row>
    <row r="836" spans="3:19" x14ac:dyDescent="0.15">
      <c r="C836" s="52" t="s">
        <v>443</v>
      </c>
      <c r="D836" s="52"/>
      <c r="E836" s="91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86">
        <f t="shared" si="34"/>
        <v>0</v>
      </c>
    </row>
    <row r="837" spans="3:19" x14ac:dyDescent="0.15">
      <c r="C837" s="52"/>
      <c r="D837" s="52" t="s">
        <v>33</v>
      </c>
      <c r="E837" s="91"/>
      <c r="F837" s="94">
        <f>SUM(H837:L837)</f>
        <v>4679000</v>
      </c>
      <c r="G837" s="69"/>
      <c r="H837" s="95">
        <v>2731000</v>
      </c>
      <c r="I837" s="90"/>
      <c r="J837" s="95">
        <v>1927000</v>
      </c>
      <c r="K837" s="90"/>
      <c r="L837" s="95">
        <v>21000</v>
      </c>
      <c r="M837" s="90"/>
      <c r="N837" s="95">
        <v>2963000</v>
      </c>
      <c r="O837" s="90"/>
      <c r="P837" s="95">
        <v>2044000</v>
      </c>
      <c r="Q837" s="90"/>
      <c r="R837" s="95">
        <v>328000</v>
      </c>
      <c r="S837" s="86">
        <f t="shared" si="34"/>
        <v>0</v>
      </c>
    </row>
    <row r="838" spans="3:19" x14ac:dyDescent="0.15"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86">
        <f t="shared" si="34"/>
        <v>0</v>
      </c>
    </row>
    <row r="839" spans="3:19" x14ac:dyDescent="0.15">
      <c r="C839" s="53" t="s">
        <v>444</v>
      </c>
      <c r="F839" s="94">
        <f>SUM(H839:L839)</f>
        <v>9574000</v>
      </c>
      <c r="G839" s="69"/>
      <c r="H839" s="95">
        <v>9016000</v>
      </c>
      <c r="I839" s="90"/>
      <c r="J839" s="95">
        <v>515000</v>
      </c>
      <c r="K839" s="90"/>
      <c r="L839" s="95">
        <v>43000</v>
      </c>
      <c r="M839" s="90"/>
      <c r="N839" s="95">
        <v>5351000</v>
      </c>
      <c r="O839" s="90"/>
      <c r="P839" s="95">
        <v>5354000</v>
      </c>
      <c r="Q839" s="90"/>
      <c r="R839" s="95">
        <v>1131000</v>
      </c>
      <c r="S839" s="86">
        <f t="shared" si="34"/>
        <v>0</v>
      </c>
    </row>
    <row r="840" spans="3:19" x14ac:dyDescent="0.15">
      <c r="C840" s="52"/>
      <c r="D840" s="52"/>
      <c r="E840" s="91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86">
        <f t="shared" ref="S840:S903" si="35">+F840-N840-P840+R840</f>
        <v>0</v>
      </c>
    </row>
    <row r="841" spans="3:19" x14ac:dyDescent="0.15">
      <c r="C841" s="52" t="s">
        <v>445</v>
      </c>
      <c r="D841" s="52"/>
      <c r="E841" s="91"/>
      <c r="G841" s="69"/>
      <c r="H841" s="90"/>
      <c r="I841" s="90"/>
      <c r="J841" s="90"/>
      <c r="K841" s="90"/>
      <c r="L841" s="90"/>
      <c r="M841" s="90"/>
      <c r="N841" s="90"/>
      <c r="O841" s="90"/>
      <c r="P841" s="90"/>
      <c r="Q841" s="90"/>
      <c r="R841" s="90"/>
      <c r="S841" s="86">
        <f t="shared" si="35"/>
        <v>0</v>
      </c>
    </row>
    <row r="842" spans="3:19" x14ac:dyDescent="0.15">
      <c r="C842" s="52"/>
      <c r="D842" s="52"/>
      <c r="E842" s="91" t="s">
        <v>326</v>
      </c>
      <c r="F842" s="75">
        <f>SUM(H842:L842)</f>
        <v>19125000</v>
      </c>
      <c r="G842" s="92"/>
      <c r="H842" s="90">
        <v>10757000</v>
      </c>
      <c r="I842" s="93"/>
      <c r="J842" s="90">
        <v>8366000</v>
      </c>
      <c r="K842" s="93"/>
      <c r="L842" s="90">
        <v>2000</v>
      </c>
      <c r="M842" s="93"/>
      <c r="N842" s="90">
        <v>7167000</v>
      </c>
      <c r="O842" s="93"/>
      <c r="P842" s="90">
        <v>14157000</v>
      </c>
      <c r="Q842" s="93"/>
      <c r="R842" s="90">
        <v>2199000</v>
      </c>
      <c r="S842" s="86">
        <f t="shared" si="35"/>
        <v>0</v>
      </c>
    </row>
    <row r="843" spans="3:19" x14ac:dyDescent="0.15">
      <c r="C843" s="52"/>
      <c r="D843" s="52"/>
      <c r="E843" s="91" t="s">
        <v>446</v>
      </c>
      <c r="G843" s="69"/>
      <c r="H843" s="90"/>
      <c r="I843" s="90"/>
      <c r="J843" s="90"/>
      <c r="K843" s="90"/>
      <c r="L843" s="90"/>
      <c r="M843" s="90"/>
      <c r="N843" s="90"/>
      <c r="O843" s="90"/>
      <c r="P843" s="90"/>
      <c r="Q843" s="90"/>
      <c r="R843" s="90"/>
      <c r="S843" s="86">
        <f t="shared" si="35"/>
        <v>0</v>
      </c>
    </row>
    <row r="844" spans="3:19" x14ac:dyDescent="0.15">
      <c r="C844" s="52"/>
      <c r="D844" s="52"/>
      <c r="E844" s="52" t="s">
        <v>447</v>
      </c>
      <c r="F844" s="75">
        <f>SUM(H844:L844)</f>
        <v>1059000</v>
      </c>
      <c r="G844" s="92"/>
      <c r="H844" s="90">
        <v>371000</v>
      </c>
      <c r="I844" s="93"/>
      <c r="J844" s="90">
        <v>429000</v>
      </c>
      <c r="K844" s="93"/>
      <c r="L844" s="90">
        <v>259000</v>
      </c>
      <c r="M844" s="93"/>
      <c r="N844" s="90">
        <v>616000</v>
      </c>
      <c r="O844" s="93"/>
      <c r="P844" s="90">
        <v>1022000</v>
      </c>
      <c r="Q844" s="93"/>
      <c r="R844" s="90">
        <f>580000-1000</f>
        <v>579000</v>
      </c>
      <c r="S844" s="86">
        <f t="shared" si="35"/>
        <v>0</v>
      </c>
    </row>
    <row r="845" spans="3:19" x14ac:dyDescent="0.15">
      <c r="C845" s="52"/>
      <c r="D845" s="52"/>
      <c r="E845" s="91" t="s">
        <v>448</v>
      </c>
      <c r="F845" s="75">
        <f>SUM(H845:L845)</f>
        <v>1531000</v>
      </c>
      <c r="G845" s="92"/>
      <c r="H845" s="90">
        <v>1516000</v>
      </c>
      <c r="I845" s="93"/>
      <c r="J845" s="90">
        <v>15000</v>
      </c>
      <c r="K845" s="93"/>
      <c r="L845" s="90">
        <v>0</v>
      </c>
      <c r="M845" s="93"/>
      <c r="N845" s="90">
        <v>781000</v>
      </c>
      <c r="O845" s="93"/>
      <c r="P845" s="90">
        <v>750000</v>
      </c>
      <c r="Q845" s="93"/>
      <c r="R845" s="90">
        <v>0</v>
      </c>
      <c r="S845" s="86">
        <f t="shared" si="35"/>
        <v>0</v>
      </c>
    </row>
    <row r="846" spans="3:19" x14ac:dyDescent="0.15">
      <c r="C846" s="52"/>
      <c r="D846" s="52"/>
      <c r="E846" s="91" t="s">
        <v>449</v>
      </c>
      <c r="F846" s="75">
        <f>SUM(H846:L846)</f>
        <v>3629000</v>
      </c>
      <c r="G846" s="92"/>
      <c r="H846" s="90">
        <v>1037000</v>
      </c>
      <c r="I846" s="93"/>
      <c r="J846" s="90">
        <v>2592000</v>
      </c>
      <c r="K846" s="93"/>
      <c r="L846" s="90">
        <v>0</v>
      </c>
      <c r="M846" s="93"/>
      <c r="N846" s="90">
        <v>2281000</v>
      </c>
      <c r="O846" s="93"/>
      <c r="P846" s="90">
        <v>1348000</v>
      </c>
      <c r="Q846" s="93"/>
      <c r="R846" s="90">
        <v>0</v>
      </c>
      <c r="S846" s="86">
        <f t="shared" si="35"/>
        <v>0</v>
      </c>
    </row>
    <row r="847" spans="3:19" x14ac:dyDescent="0.15">
      <c r="C847" s="52"/>
      <c r="D847" s="52"/>
      <c r="E847" s="91" t="s">
        <v>450</v>
      </c>
      <c r="F847" s="94">
        <f>SUM(H847:L847)</f>
        <v>1153000</v>
      </c>
      <c r="G847" s="69"/>
      <c r="H847" s="95">
        <v>1067000</v>
      </c>
      <c r="I847" s="90"/>
      <c r="J847" s="95">
        <v>85000</v>
      </c>
      <c r="K847" s="90"/>
      <c r="L847" s="95">
        <v>1000</v>
      </c>
      <c r="M847" s="90"/>
      <c r="N847" s="95">
        <v>1318000</v>
      </c>
      <c r="O847" s="90"/>
      <c r="P847" s="95">
        <v>-84000</v>
      </c>
      <c r="Q847" s="90"/>
      <c r="R847" s="95">
        <v>81000</v>
      </c>
      <c r="S847" s="86">
        <f t="shared" si="35"/>
        <v>0</v>
      </c>
    </row>
    <row r="848" spans="3:19" x14ac:dyDescent="0.15">
      <c r="C848" s="52"/>
      <c r="D848" s="52"/>
      <c r="E848" s="91"/>
      <c r="G848" s="69"/>
      <c r="H848" s="90"/>
      <c r="I848" s="90"/>
      <c r="J848" s="90"/>
      <c r="K848" s="90"/>
      <c r="L848" s="90"/>
      <c r="M848" s="90"/>
      <c r="N848" s="90"/>
      <c r="O848" s="90"/>
      <c r="P848" s="90"/>
      <c r="Q848" s="90"/>
      <c r="R848" s="90"/>
      <c r="S848" s="86">
        <f t="shared" si="35"/>
        <v>0</v>
      </c>
    </row>
    <row r="849" spans="1:19" x14ac:dyDescent="0.15">
      <c r="C849" s="52"/>
      <c r="D849" s="52"/>
      <c r="E849" s="52" t="s">
        <v>60</v>
      </c>
      <c r="F849" s="94">
        <f>SUM(H849:L849)</f>
        <v>26497000</v>
      </c>
      <c r="G849" s="69"/>
      <c r="H849" s="95">
        <f>SUM(H842:H848)</f>
        <v>14748000</v>
      </c>
      <c r="I849" s="90"/>
      <c r="J849" s="95">
        <f>SUM(J842:J848)</f>
        <v>11487000</v>
      </c>
      <c r="K849" s="90"/>
      <c r="L849" s="95">
        <f>SUM(L842:L848)</f>
        <v>262000</v>
      </c>
      <c r="M849" s="90"/>
      <c r="N849" s="95">
        <f>SUM(N842:N848)</f>
        <v>12163000</v>
      </c>
      <c r="O849" s="90"/>
      <c r="P849" s="95">
        <f>SUM(P842:P848)</f>
        <v>17193000</v>
      </c>
      <c r="Q849" s="90"/>
      <c r="R849" s="95">
        <f>SUM(R842:R848)</f>
        <v>2859000</v>
      </c>
      <c r="S849" s="86">
        <f t="shared" si="35"/>
        <v>0</v>
      </c>
    </row>
    <row r="850" spans="1:19" x14ac:dyDescent="0.15">
      <c r="C850" s="52"/>
      <c r="D850" s="52"/>
      <c r="E850" s="91"/>
      <c r="G850" s="69"/>
      <c r="H850" s="90"/>
      <c r="I850" s="90"/>
      <c r="J850" s="90"/>
      <c r="K850" s="90"/>
      <c r="L850" s="90"/>
      <c r="M850" s="90"/>
      <c r="N850" s="90"/>
      <c r="O850" s="90"/>
      <c r="P850" s="90"/>
      <c r="Q850" s="90"/>
      <c r="R850" s="90"/>
      <c r="S850" s="86">
        <f t="shared" si="35"/>
        <v>0</v>
      </c>
    </row>
    <row r="851" spans="1:19" x14ac:dyDescent="0.15">
      <c r="C851" s="52" t="s">
        <v>451</v>
      </c>
      <c r="D851" s="52"/>
      <c r="E851" s="91"/>
      <c r="G851" s="69"/>
      <c r="H851" s="90"/>
      <c r="I851" s="90"/>
      <c r="J851" s="90"/>
      <c r="K851" s="90"/>
      <c r="L851" s="90"/>
      <c r="M851" s="90"/>
      <c r="N851" s="90"/>
      <c r="O851" s="90"/>
      <c r="P851" s="90"/>
      <c r="Q851" s="90"/>
      <c r="R851" s="90"/>
      <c r="S851" s="86">
        <f t="shared" si="35"/>
        <v>0</v>
      </c>
    </row>
    <row r="852" spans="1:19" x14ac:dyDescent="0.15">
      <c r="C852" s="52"/>
      <c r="D852" s="52" t="s">
        <v>452</v>
      </c>
      <c r="E852" s="91"/>
      <c r="G852" s="69"/>
      <c r="H852" s="90"/>
      <c r="I852" s="90"/>
      <c r="J852" s="90"/>
      <c r="K852" s="90"/>
      <c r="L852" s="90"/>
      <c r="M852" s="90"/>
      <c r="N852" s="90"/>
      <c r="O852" s="90"/>
      <c r="P852" s="90"/>
      <c r="Q852" s="90"/>
      <c r="R852" s="90"/>
      <c r="S852" s="86">
        <f t="shared" si="35"/>
        <v>0</v>
      </c>
    </row>
    <row r="853" spans="1:19" x14ac:dyDescent="0.15">
      <c r="A853" s="86"/>
      <c r="B853" s="86"/>
      <c r="C853" s="86"/>
      <c r="D853" s="86"/>
      <c r="E853" s="91" t="s">
        <v>521</v>
      </c>
      <c r="F853" s="94">
        <f>SUM(H853:L853)</f>
        <v>2558000</v>
      </c>
      <c r="G853" s="69"/>
      <c r="H853" s="95">
        <v>1610000</v>
      </c>
      <c r="I853" s="90"/>
      <c r="J853" s="95">
        <v>945000</v>
      </c>
      <c r="K853" s="90"/>
      <c r="L853" s="95">
        <v>3000</v>
      </c>
      <c r="M853" s="90"/>
      <c r="N853" s="95">
        <v>2845000</v>
      </c>
      <c r="O853" s="90"/>
      <c r="P853" s="95">
        <v>687000</v>
      </c>
      <c r="Q853" s="90"/>
      <c r="R853" s="95">
        <v>974000</v>
      </c>
      <c r="S853" s="86">
        <f t="shared" si="35"/>
        <v>0</v>
      </c>
    </row>
    <row r="854" spans="1:19" x14ac:dyDescent="0.15">
      <c r="A854" s="86"/>
      <c r="B854" s="86"/>
      <c r="C854" s="86"/>
      <c r="D854" s="86"/>
      <c r="E854" s="91"/>
      <c r="G854" s="69"/>
      <c r="H854" s="90"/>
      <c r="I854" s="90"/>
      <c r="J854" s="90"/>
      <c r="K854" s="90"/>
      <c r="L854" s="90"/>
      <c r="M854" s="90"/>
      <c r="N854" s="90"/>
      <c r="O854" s="90"/>
      <c r="P854" s="90"/>
      <c r="Q854" s="90"/>
      <c r="R854" s="90"/>
      <c r="S854" s="86">
        <f t="shared" si="35"/>
        <v>0</v>
      </c>
    </row>
    <row r="855" spans="1:19" x14ac:dyDescent="0.15">
      <c r="C855" s="52" t="s">
        <v>453</v>
      </c>
      <c r="D855" s="52"/>
      <c r="E855" s="91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86">
        <f t="shared" si="35"/>
        <v>0</v>
      </c>
    </row>
    <row r="856" spans="1:19" x14ac:dyDescent="0.15">
      <c r="C856" s="52"/>
      <c r="D856" s="52"/>
      <c r="E856" s="91" t="s">
        <v>454</v>
      </c>
      <c r="F856" s="75">
        <f>SUM(H856:L856)</f>
        <v>5990000</v>
      </c>
      <c r="G856" s="92"/>
      <c r="H856" s="90">
        <v>5196000</v>
      </c>
      <c r="I856" s="93"/>
      <c r="J856" s="90">
        <v>793000</v>
      </c>
      <c r="K856" s="93"/>
      <c r="L856" s="90">
        <v>1000</v>
      </c>
      <c r="M856" s="93"/>
      <c r="N856" s="90">
        <v>3887000</v>
      </c>
      <c r="O856" s="93"/>
      <c r="P856" s="90">
        <v>2103000</v>
      </c>
      <c r="Q856" s="93"/>
      <c r="R856" s="90">
        <v>0</v>
      </c>
      <c r="S856" s="86">
        <f t="shared" si="35"/>
        <v>0</v>
      </c>
    </row>
    <row r="857" spans="1:19" x14ac:dyDescent="0.15">
      <c r="C857" s="52"/>
      <c r="D857" s="52"/>
      <c r="E857" s="91" t="s">
        <v>455</v>
      </c>
      <c r="F857" s="94">
        <f>SUM(H857:L857)</f>
        <v>330000</v>
      </c>
      <c r="G857" s="69"/>
      <c r="H857" s="95">
        <f>201000+1000</f>
        <v>202000</v>
      </c>
      <c r="I857" s="90"/>
      <c r="J857" s="95">
        <v>23000</v>
      </c>
      <c r="K857" s="90"/>
      <c r="L857" s="95">
        <v>105000</v>
      </c>
      <c r="M857" s="90"/>
      <c r="N857" s="95">
        <v>210000</v>
      </c>
      <c r="O857" s="90"/>
      <c r="P857" s="95">
        <v>124000</v>
      </c>
      <c r="Q857" s="90"/>
      <c r="R857" s="95">
        <v>4000</v>
      </c>
      <c r="S857" s="86">
        <f t="shared" si="35"/>
        <v>0</v>
      </c>
    </row>
    <row r="858" spans="1:19" x14ac:dyDescent="0.15">
      <c r="C858" s="86"/>
      <c r="D858" s="52"/>
      <c r="E858" s="91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86">
        <f t="shared" si="35"/>
        <v>0</v>
      </c>
    </row>
    <row r="859" spans="1:19" x14ac:dyDescent="0.15">
      <c r="C859" s="52"/>
      <c r="D859" s="52"/>
      <c r="E859" s="52" t="s">
        <v>60</v>
      </c>
      <c r="F859" s="94">
        <f>SUM(H859:L859)</f>
        <v>6320000</v>
      </c>
      <c r="G859" s="69"/>
      <c r="H859" s="95">
        <f>SUM(H856:H858)</f>
        <v>5398000</v>
      </c>
      <c r="I859" s="69"/>
      <c r="J859" s="95">
        <f>SUM(J856:J858)</f>
        <v>816000</v>
      </c>
      <c r="K859" s="69"/>
      <c r="L859" s="95">
        <f>SUM(L856:L858)</f>
        <v>106000</v>
      </c>
      <c r="M859" s="69"/>
      <c r="N859" s="95">
        <f>SUM(N856:N858)</f>
        <v>4097000</v>
      </c>
      <c r="O859" s="69"/>
      <c r="P859" s="95">
        <f>SUM(P856:P858)</f>
        <v>2227000</v>
      </c>
      <c r="Q859" s="69"/>
      <c r="R859" s="95">
        <f>SUM(R856:R858)</f>
        <v>4000</v>
      </c>
      <c r="S859" s="86">
        <f t="shared" si="35"/>
        <v>0</v>
      </c>
    </row>
    <row r="860" spans="1:19" x14ac:dyDescent="0.15"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86">
        <f t="shared" si="35"/>
        <v>0</v>
      </c>
    </row>
    <row r="861" spans="1:19" x14ac:dyDescent="0.15">
      <c r="B861" s="79"/>
      <c r="C861" s="53" t="s">
        <v>456</v>
      </c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86">
        <f t="shared" si="35"/>
        <v>0</v>
      </c>
    </row>
    <row r="862" spans="1:19" x14ac:dyDescent="0.15">
      <c r="C862" s="52"/>
      <c r="D862" s="52"/>
      <c r="E862" s="52" t="s">
        <v>457</v>
      </c>
      <c r="F862" s="75">
        <f>SUM(H862:L862)</f>
        <v>2217000</v>
      </c>
      <c r="G862" s="92"/>
      <c r="H862" s="90">
        <v>1029000</v>
      </c>
      <c r="I862" s="93"/>
      <c r="J862" s="90">
        <v>1099000</v>
      </c>
      <c r="K862" s="93"/>
      <c r="L862" s="90">
        <v>89000</v>
      </c>
      <c r="M862" s="93"/>
      <c r="N862" s="90">
        <v>1233000</v>
      </c>
      <c r="O862" s="93"/>
      <c r="P862" s="90">
        <v>984000</v>
      </c>
      <c r="Q862" s="93"/>
      <c r="R862" s="90">
        <v>0</v>
      </c>
      <c r="S862" s="86">
        <f t="shared" si="35"/>
        <v>0</v>
      </c>
    </row>
    <row r="863" spans="1:19" x14ac:dyDescent="0.15">
      <c r="C863" s="86"/>
      <c r="D863" s="86"/>
      <c r="E863" s="52" t="s">
        <v>459</v>
      </c>
      <c r="F863" s="75">
        <f>SUM(H863:L863)</f>
        <v>13841000</v>
      </c>
      <c r="G863" s="92"/>
      <c r="H863" s="90">
        <v>63000</v>
      </c>
      <c r="I863" s="93"/>
      <c r="J863" s="90">
        <v>13774000</v>
      </c>
      <c r="K863" s="93"/>
      <c r="L863" s="90">
        <v>4000</v>
      </c>
      <c r="M863" s="93"/>
      <c r="N863" s="90">
        <v>4827000</v>
      </c>
      <c r="O863" s="93"/>
      <c r="P863" s="90">
        <v>9015000</v>
      </c>
      <c r="Q863" s="93"/>
      <c r="R863" s="90">
        <v>1000</v>
      </c>
      <c r="S863" s="86">
        <f t="shared" si="35"/>
        <v>0</v>
      </c>
    </row>
    <row r="864" spans="1:19" x14ac:dyDescent="0.15">
      <c r="C864" s="86"/>
      <c r="D864" s="86"/>
      <c r="E864" s="52" t="s">
        <v>297</v>
      </c>
      <c r="F864" s="75">
        <f>SUM(H864:L864)</f>
        <v>43926000</v>
      </c>
      <c r="G864" s="92"/>
      <c r="H864" s="90">
        <v>0</v>
      </c>
      <c r="I864" s="93"/>
      <c r="J864" s="90">
        <v>43906000</v>
      </c>
      <c r="K864" s="93"/>
      <c r="L864" s="90">
        <v>20000</v>
      </c>
      <c r="M864" s="93"/>
      <c r="N864" s="90">
        <v>28749000</v>
      </c>
      <c r="O864" s="93"/>
      <c r="P864" s="90">
        <v>15177000</v>
      </c>
      <c r="Q864" s="93"/>
      <c r="R864" s="90">
        <v>0</v>
      </c>
      <c r="S864" s="86">
        <f t="shared" si="35"/>
        <v>0</v>
      </c>
    </row>
    <row r="865" spans="3:19" x14ac:dyDescent="0.15">
      <c r="C865" s="86"/>
      <c r="D865" s="86"/>
      <c r="E865" s="52" t="s">
        <v>234</v>
      </c>
      <c r="F865" s="94">
        <f>SUM(H865:L865)</f>
        <v>10478000</v>
      </c>
      <c r="G865" s="69"/>
      <c r="H865" s="95">
        <f>61026000+1000</f>
        <v>61027000</v>
      </c>
      <c r="I865" s="90"/>
      <c r="J865" s="95">
        <f>-50797000-1000</f>
        <v>-50798000</v>
      </c>
      <c r="K865" s="90"/>
      <c r="L865" s="95">
        <v>249000</v>
      </c>
      <c r="M865" s="90"/>
      <c r="N865" s="95">
        <f>12456000+2000</f>
        <v>12458000</v>
      </c>
      <c r="O865" s="90"/>
      <c r="P865" s="95">
        <v>-441000</v>
      </c>
      <c r="Q865" s="90"/>
      <c r="R865" s="95">
        <f>1537000+2000</f>
        <v>1539000</v>
      </c>
      <c r="S865" s="86">
        <f t="shared" si="35"/>
        <v>0</v>
      </c>
    </row>
    <row r="866" spans="3:19" x14ac:dyDescent="0.15"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86">
        <f t="shared" si="35"/>
        <v>0</v>
      </c>
    </row>
    <row r="867" spans="3:19" x14ac:dyDescent="0.15">
      <c r="E867" s="52" t="s">
        <v>60</v>
      </c>
      <c r="F867" s="94">
        <f>SUM(H867:L867)</f>
        <v>70462000</v>
      </c>
      <c r="G867" s="69"/>
      <c r="H867" s="94">
        <f>SUM(H862:H865)</f>
        <v>62119000</v>
      </c>
      <c r="I867" s="75"/>
      <c r="J867" s="94">
        <f>SUM(J862:J865)</f>
        <v>7981000</v>
      </c>
      <c r="K867" s="75"/>
      <c r="L867" s="94">
        <f>SUM(L862:L865)</f>
        <v>362000</v>
      </c>
      <c r="M867" s="75"/>
      <c r="N867" s="94">
        <f>SUM(N862:N865)</f>
        <v>47267000</v>
      </c>
      <c r="O867" s="75"/>
      <c r="P867" s="94">
        <f>SUM(P862:P865)</f>
        <v>24735000</v>
      </c>
      <c r="Q867" s="75"/>
      <c r="R867" s="94">
        <f>SUM(R862:R865)</f>
        <v>1540000</v>
      </c>
      <c r="S867" s="86">
        <f t="shared" si="35"/>
        <v>0</v>
      </c>
    </row>
    <row r="868" spans="3:19" x14ac:dyDescent="0.15">
      <c r="C868" s="86"/>
      <c r="D868" s="52"/>
      <c r="E868" s="86"/>
      <c r="G868" s="69"/>
      <c r="H868" s="90"/>
      <c r="I868" s="90"/>
      <c r="J868" s="90"/>
      <c r="K868" s="90"/>
      <c r="L868" s="90"/>
      <c r="M868" s="90"/>
      <c r="N868" s="90"/>
      <c r="O868" s="90"/>
      <c r="P868" s="90"/>
      <c r="Q868" s="90"/>
      <c r="R868" s="90"/>
      <c r="S868" s="86">
        <f t="shared" si="35"/>
        <v>0</v>
      </c>
    </row>
    <row r="869" spans="3:19" x14ac:dyDescent="0.15">
      <c r="C869" s="52" t="s">
        <v>463</v>
      </c>
      <c r="D869" s="52"/>
      <c r="E869" s="91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86">
        <f t="shared" si="35"/>
        <v>0</v>
      </c>
    </row>
    <row r="870" spans="3:19" x14ac:dyDescent="0.15">
      <c r="E870" s="52" t="s">
        <v>520</v>
      </c>
      <c r="F870" s="94">
        <f>SUM(H870:L870)</f>
        <v>50000</v>
      </c>
      <c r="G870" s="69"/>
      <c r="H870" s="95">
        <v>0</v>
      </c>
      <c r="I870" s="90"/>
      <c r="J870" s="95">
        <v>50000</v>
      </c>
      <c r="K870" s="90"/>
      <c r="L870" s="95">
        <v>0</v>
      </c>
      <c r="M870" s="90"/>
      <c r="N870" s="95">
        <v>580000</v>
      </c>
      <c r="O870" s="90"/>
      <c r="P870" s="95">
        <v>515000</v>
      </c>
      <c r="Q870" s="90"/>
      <c r="R870" s="95">
        <v>1045000</v>
      </c>
      <c r="S870" s="86">
        <f t="shared" si="35"/>
        <v>0</v>
      </c>
    </row>
    <row r="871" spans="3:19" x14ac:dyDescent="0.15"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86">
        <f t="shared" si="35"/>
        <v>0</v>
      </c>
    </row>
    <row r="872" spans="3:19" x14ac:dyDescent="0.15">
      <c r="E872" s="52" t="s">
        <v>60</v>
      </c>
      <c r="F872" s="94">
        <f>SUM(H872:L872)</f>
        <v>50000</v>
      </c>
      <c r="G872" s="69"/>
      <c r="H872" s="94">
        <f>SUM(H870:H871)</f>
        <v>0</v>
      </c>
      <c r="I872" s="75"/>
      <c r="J872" s="94">
        <f>SUM(J870:J871)</f>
        <v>50000</v>
      </c>
      <c r="K872" s="75"/>
      <c r="L872" s="94">
        <f>SUM(L870:L871)</f>
        <v>0</v>
      </c>
      <c r="M872" s="75"/>
      <c r="N872" s="94">
        <f>SUM(N870:N871)</f>
        <v>580000</v>
      </c>
      <c r="O872" s="75"/>
      <c r="P872" s="94">
        <f>SUM(P870:P871)</f>
        <v>515000</v>
      </c>
      <c r="Q872" s="75"/>
      <c r="R872" s="94">
        <f>SUM(R870:R871)</f>
        <v>1045000</v>
      </c>
      <c r="S872" s="86">
        <f t="shared" si="35"/>
        <v>0</v>
      </c>
    </row>
    <row r="873" spans="3:19" x14ac:dyDescent="0.15"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86">
        <f t="shared" si="35"/>
        <v>0</v>
      </c>
    </row>
    <row r="874" spans="3:19" x14ac:dyDescent="0.15">
      <c r="C874" s="52" t="s">
        <v>464</v>
      </c>
      <c r="D874" s="52"/>
      <c r="E874" s="91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86">
        <f t="shared" si="35"/>
        <v>0</v>
      </c>
    </row>
    <row r="875" spans="3:19" x14ac:dyDescent="0.15">
      <c r="E875" s="52" t="s">
        <v>465</v>
      </c>
      <c r="F875" s="75">
        <f>SUM(H875:L875)</f>
        <v>-149000</v>
      </c>
      <c r="G875" s="92"/>
      <c r="H875" s="90">
        <v>0</v>
      </c>
      <c r="I875" s="93"/>
      <c r="J875" s="90">
        <v>-149000</v>
      </c>
      <c r="K875" s="93"/>
      <c r="L875" s="90">
        <v>0</v>
      </c>
      <c r="M875" s="93"/>
      <c r="N875" s="90">
        <v>98000</v>
      </c>
      <c r="O875" s="93"/>
      <c r="P875" s="90">
        <v>937000</v>
      </c>
      <c r="Q875" s="93"/>
      <c r="R875" s="90">
        <f>1183000+1000</f>
        <v>1184000</v>
      </c>
      <c r="S875" s="86">
        <f t="shared" si="35"/>
        <v>0</v>
      </c>
    </row>
    <row r="876" spans="3:19" x14ac:dyDescent="0.15">
      <c r="E876" s="52" t="s">
        <v>466</v>
      </c>
      <c r="F876" s="94">
        <f>SUM(H876:L876)</f>
        <v>4123000</v>
      </c>
      <c r="G876" s="69"/>
      <c r="H876" s="95">
        <v>0</v>
      </c>
      <c r="I876" s="90"/>
      <c r="J876" s="95">
        <v>4123000</v>
      </c>
      <c r="K876" s="90"/>
      <c r="L876" s="95">
        <v>0</v>
      </c>
      <c r="M876" s="90"/>
      <c r="N876" s="95">
        <v>1383000</v>
      </c>
      <c r="O876" s="90"/>
      <c r="P876" s="95">
        <v>2755000</v>
      </c>
      <c r="Q876" s="90"/>
      <c r="R876" s="95">
        <v>15000</v>
      </c>
      <c r="S876" s="86">
        <f t="shared" si="35"/>
        <v>0</v>
      </c>
    </row>
    <row r="877" spans="3:19" x14ac:dyDescent="0.15">
      <c r="G877" s="69"/>
      <c r="H877" s="90"/>
      <c r="I877" s="90"/>
      <c r="J877" s="90"/>
      <c r="K877" s="90"/>
      <c r="L877" s="90"/>
      <c r="M877" s="90"/>
      <c r="N877" s="90"/>
      <c r="O877" s="90"/>
      <c r="P877" s="90"/>
      <c r="Q877" s="90"/>
      <c r="R877" s="90"/>
      <c r="S877" s="86">
        <f t="shared" si="35"/>
        <v>0</v>
      </c>
    </row>
    <row r="878" spans="3:19" x14ac:dyDescent="0.15">
      <c r="E878" s="52" t="s">
        <v>3</v>
      </c>
      <c r="F878" s="94">
        <f>SUM(H878:L878)</f>
        <v>3974000</v>
      </c>
      <c r="G878" s="69"/>
      <c r="H878" s="94">
        <f>SUM(H875:H877)</f>
        <v>0</v>
      </c>
      <c r="I878" s="75"/>
      <c r="J878" s="94">
        <f>SUM(J875:J877)</f>
        <v>3974000</v>
      </c>
      <c r="K878" s="75"/>
      <c r="L878" s="94">
        <f>SUM(L875:L877)</f>
        <v>0</v>
      </c>
      <c r="M878" s="75"/>
      <c r="N878" s="94">
        <f>SUM(N875:N877)</f>
        <v>1481000</v>
      </c>
      <c r="O878" s="75"/>
      <c r="P878" s="94">
        <f>SUM(P875:P877)</f>
        <v>3692000</v>
      </c>
      <c r="Q878" s="75"/>
      <c r="R878" s="94">
        <f>SUM(R875:R877)</f>
        <v>1199000</v>
      </c>
      <c r="S878" s="86">
        <f t="shared" si="35"/>
        <v>0</v>
      </c>
    </row>
    <row r="879" spans="3:19" x14ac:dyDescent="0.15">
      <c r="C879" s="86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86">
        <f t="shared" si="35"/>
        <v>0</v>
      </c>
    </row>
    <row r="880" spans="3:19" x14ac:dyDescent="0.15">
      <c r="C880" s="53" t="s">
        <v>467</v>
      </c>
      <c r="F880" s="94">
        <f>SUM(H880:L880)</f>
        <v>368000</v>
      </c>
      <c r="G880" s="69"/>
      <c r="H880" s="95">
        <v>382000</v>
      </c>
      <c r="I880" s="90"/>
      <c r="J880" s="95">
        <v>-14000</v>
      </c>
      <c r="K880" s="90"/>
      <c r="L880" s="95">
        <v>0</v>
      </c>
      <c r="M880" s="90"/>
      <c r="N880" s="95">
        <v>403000</v>
      </c>
      <c r="O880" s="90"/>
      <c r="P880" s="95">
        <v>1198000</v>
      </c>
      <c r="Q880" s="90"/>
      <c r="R880" s="95">
        <v>1233000</v>
      </c>
      <c r="S880" s="86">
        <f t="shared" si="35"/>
        <v>0</v>
      </c>
    </row>
    <row r="881" spans="1:19" x14ac:dyDescent="0.15">
      <c r="C881" s="86"/>
      <c r="G881" s="69"/>
      <c r="H881" s="90"/>
      <c r="I881" s="90"/>
      <c r="J881" s="90"/>
      <c r="K881" s="90"/>
      <c r="L881" s="90"/>
      <c r="M881" s="90"/>
      <c r="N881" s="90"/>
      <c r="O881" s="90"/>
      <c r="P881" s="90"/>
      <c r="Q881" s="90"/>
      <c r="R881" s="90"/>
      <c r="S881" s="86">
        <f t="shared" si="35"/>
        <v>0</v>
      </c>
    </row>
    <row r="882" spans="1:19" x14ac:dyDescent="0.15">
      <c r="C882" s="53" t="s">
        <v>468</v>
      </c>
      <c r="D882" s="52"/>
      <c r="E882" s="91"/>
      <c r="G882" s="69"/>
      <c r="H882" s="90"/>
      <c r="I882" s="90"/>
      <c r="J882" s="90"/>
      <c r="K882" s="90"/>
      <c r="L882" s="90"/>
      <c r="M882" s="90"/>
      <c r="N882" s="90"/>
      <c r="O882" s="90"/>
      <c r="P882" s="90"/>
      <c r="Q882" s="90"/>
      <c r="R882" s="90"/>
      <c r="S882" s="86">
        <f t="shared" si="35"/>
        <v>0</v>
      </c>
    </row>
    <row r="883" spans="1:19" x14ac:dyDescent="0.15">
      <c r="E883" s="52" t="s">
        <v>469</v>
      </c>
      <c r="F883" s="75">
        <f>SUM(H883:L883)</f>
        <v>2702000</v>
      </c>
      <c r="G883" s="92"/>
      <c r="H883" s="90">
        <v>1409000</v>
      </c>
      <c r="I883" s="93"/>
      <c r="J883" s="90">
        <v>1293000</v>
      </c>
      <c r="K883" s="93"/>
      <c r="L883" s="90">
        <v>0</v>
      </c>
      <c r="M883" s="93"/>
      <c r="N883" s="90">
        <v>1497000</v>
      </c>
      <c r="O883" s="93"/>
      <c r="P883" s="90">
        <v>1205000</v>
      </c>
      <c r="Q883" s="93"/>
      <c r="R883" s="90">
        <v>0</v>
      </c>
      <c r="S883" s="86">
        <f t="shared" si="35"/>
        <v>0</v>
      </c>
    </row>
    <row r="884" spans="1:19" x14ac:dyDescent="0.15">
      <c r="E884" s="52" t="s">
        <v>470</v>
      </c>
      <c r="F884" s="75">
        <f>SUM(H884:L884)</f>
        <v>946000</v>
      </c>
      <c r="G884" s="92"/>
      <c r="H884" s="90">
        <v>1020000</v>
      </c>
      <c r="I884" s="93"/>
      <c r="J884" s="90">
        <v>-76000</v>
      </c>
      <c r="K884" s="93"/>
      <c r="L884" s="90">
        <v>2000</v>
      </c>
      <c r="M884" s="93"/>
      <c r="N884" s="90">
        <v>1287000</v>
      </c>
      <c r="O884" s="93"/>
      <c r="P884" s="90">
        <v>-341000</v>
      </c>
      <c r="Q884" s="93"/>
      <c r="R884" s="90">
        <v>0</v>
      </c>
      <c r="S884" s="86">
        <f t="shared" si="35"/>
        <v>0</v>
      </c>
    </row>
    <row r="885" spans="1:19" x14ac:dyDescent="0.15">
      <c r="E885" s="52" t="s">
        <v>471</v>
      </c>
      <c r="F885" s="75">
        <f>SUM(H885:L885)</f>
        <v>793000</v>
      </c>
      <c r="G885" s="92"/>
      <c r="H885" s="90">
        <v>557000</v>
      </c>
      <c r="I885" s="93"/>
      <c r="J885" s="90">
        <f>235000+1000</f>
        <v>236000</v>
      </c>
      <c r="K885" s="93"/>
      <c r="L885" s="90">
        <v>0</v>
      </c>
      <c r="M885" s="93"/>
      <c r="N885" s="90">
        <v>788000</v>
      </c>
      <c r="O885" s="93"/>
      <c r="P885" s="90">
        <v>1651000</v>
      </c>
      <c r="Q885" s="93"/>
      <c r="R885" s="90">
        <v>1646000</v>
      </c>
      <c r="S885" s="86">
        <f t="shared" si="35"/>
        <v>0</v>
      </c>
    </row>
    <row r="886" spans="1:19" x14ac:dyDescent="0.15">
      <c r="E886" s="52" t="s">
        <v>472</v>
      </c>
      <c r="F886" s="94">
        <f>SUM(H886:L886)</f>
        <v>792000</v>
      </c>
      <c r="G886" s="69"/>
      <c r="H886" s="95">
        <v>0</v>
      </c>
      <c r="I886" s="90"/>
      <c r="J886" s="95">
        <v>792000</v>
      </c>
      <c r="K886" s="90"/>
      <c r="L886" s="95">
        <v>0</v>
      </c>
      <c r="M886" s="90"/>
      <c r="N886" s="95">
        <v>517000</v>
      </c>
      <c r="O886" s="90"/>
      <c r="P886" s="95">
        <v>634000</v>
      </c>
      <c r="Q886" s="90"/>
      <c r="R886" s="95">
        <v>359000</v>
      </c>
      <c r="S886" s="86">
        <f t="shared" si="35"/>
        <v>0</v>
      </c>
    </row>
    <row r="887" spans="1:19" x14ac:dyDescent="0.15">
      <c r="B887" s="88"/>
      <c r="C887" s="88"/>
      <c r="D887" s="88"/>
      <c r="E887" s="88"/>
      <c r="G887" s="98"/>
      <c r="H887" s="98"/>
      <c r="I887" s="98"/>
      <c r="J887" s="98"/>
      <c r="K887" s="98"/>
      <c r="L887" s="98"/>
      <c r="M887" s="98"/>
      <c r="N887" s="98"/>
      <c r="O887" s="98"/>
      <c r="P887" s="98"/>
      <c r="Q887" s="98"/>
      <c r="R887" s="98"/>
      <c r="S887" s="86">
        <f t="shared" si="35"/>
        <v>0</v>
      </c>
    </row>
    <row r="888" spans="1:19" x14ac:dyDescent="0.15">
      <c r="E888" s="52" t="s">
        <v>3</v>
      </c>
      <c r="F888" s="94">
        <f>SUM(H888:L888)</f>
        <v>5233000</v>
      </c>
      <c r="G888" s="69"/>
      <c r="H888" s="94">
        <f>SUM(H883:H887)</f>
        <v>2986000</v>
      </c>
      <c r="I888" s="75"/>
      <c r="J888" s="94">
        <f>SUM(J883:J887)</f>
        <v>2245000</v>
      </c>
      <c r="K888" s="75"/>
      <c r="L888" s="94">
        <f>SUM(L883:L887)</f>
        <v>2000</v>
      </c>
      <c r="M888" s="75"/>
      <c r="N888" s="94">
        <f>SUM(N883:N887)</f>
        <v>4089000</v>
      </c>
      <c r="O888" s="75"/>
      <c r="P888" s="94">
        <f>SUM(P883:P887)</f>
        <v>3149000</v>
      </c>
      <c r="Q888" s="75"/>
      <c r="R888" s="94">
        <f>SUM(R883:R887)</f>
        <v>2005000</v>
      </c>
      <c r="S888" s="86">
        <f t="shared" si="35"/>
        <v>0</v>
      </c>
    </row>
    <row r="889" spans="1:19" x14ac:dyDescent="0.15">
      <c r="A889" s="88"/>
      <c r="B889" s="88"/>
      <c r="C889" s="88"/>
      <c r="D889" s="88"/>
      <c r="E889" s="88"/>
      <c r="G889" s="98"/>
      <c r="H889" s="98"/>
      <c r="I889" s="98"/>
      <c r="J889" s="98"/>
      <c r="K889" s="98"/>
      <c r="L889" s="98"/>
      <c r="M889" s="98"/>
      <c r="N889" s="98"/>
      <c r="O889" s="98"/>
      <c r="P889" s="98"/>
      <c r="Q889" s="98"/>
      <c r="R889" s="98"/>
      <c r="S889" s="86">
        <f t="shared" si="35"/>
        <v>0</v>
      </c>
    </row>
    <row r="890" spans="1:19" x14ac:dyDescent="0.15">
      <c r="C890" s="52" t="s">
        <v>473</v>
      </c>
      <c r="D890" s="52"/>
      <c r="E890" s="91"/>
      <c r="F890" s="94">
        <f>SUM(H890:L890)</f>
        <v>15759000</v>
      </c>
      <c r="G890" s="69"/>
      <c r="H890" s="95">
        <v>11601000</v>
      </c>
      <c r="I890" s="90"/>
      <c r="J890" s="95">
        <v>4157000</v>
      </c>
      <c r="K890" s="90"/>
      <c r="L890" s="95">
        <v>1000</v>
      </c>
      <c r="M890" s="90"/>
      <c r="N890" s="95">
        <f>13114000-2000</f>
        <v>13112000</v>
      </c>
      <c r="O890" s="90"/>
      <c r="P890" s="95">
        <v>7579000</v>
      </c>
      <c r="Q890" s="90"/>
      <c r="R890" s="95">
        <f>4934000-2000</f>
        <v>4932000</v>
      </c>
      <c r="S890" s="86">
        <f t="shared" si="35"/>
        <v>0</v>
      </c>
    </row>
    <row r="891" spans="1:19" x14ac:dyDescent="0.15">
      <c r="C891" s="86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86">
        <f t="shared" si="35"/>
        <v>0</v>
      </c>
    </row>
    <row r="892" spans="1:19" x14ac:dyDescent="0.15">
      <c r="C892" s="53" t="s">
        <v>474</v>
      </c>
      <c r="D892" s="52"/>
      <c r="E892" s="91"/>
      <c r="F892" s="94">
        <f>SUM(H892:L892)</f>
        <v>-177000</v>
      </c>
      <c r="G892" s="69"/>
      <c r="H892" s="95">
        <v>25000</v>
      </c>
      <c r="I892" s="90"/>
      <c r="J892" s="95">
        <v>-202000</v>
      </c>
      <c r="K892" s="90"/>
      <c r="L892" s="95">
        <v>0</v>
      </c>
      <c r="M892" s="90"/>
      <c r="N892" s="95">
        <v>1293000</v>
      </c>
      <c r="O892" s="90"/>
      <c r="P892" s="95">
        <v>6539000</v>
      </c>
      <c r="Q892" s="90"/>
      <c r="R892" s="95">
        <v>8009000</v>
      </c>
      <c r="S892" s="86">
        <f t="shared" si="35"/>
        <v>0</v>
      </c>
    </row>
    <row r="893" spans="1:19" x14ac:dyDescent="0.15"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86">
        <f t="shared" si="35"/>
        <v>0</v>
      </c>
    </row>
    <row r="894" spans="1:19" x14ac:dyDescent="0.15">
      <c r="C894" s="88" t="s">
        <v>475</v>
      </c>
      <c r="D894" s="52"/>
      <c r="E894" s="91"/>
      <c r="F894" s="94">
        <f>SUM(H894:L894)</f>
        <v>30677000</v>
      </c>
      <c r="G894" s="69"/>
      <c r="H894" s="95">
        <v>0</v>
      </c>
      <c r="I894" s="90"/>
      <c r="J894" s="95">
        <v>30331000</v>
      </c>
      <c r="K894" s="90"/>
      <c r="L894" s="95">
        <v>346000</v>
      </c>
      <c r="M894" s="90"/>
      <c r="N894" s="95">
        <v>16487000</v>
      </c>
      <c r="O894" s="90"/>
      <c r="P894" s="95">
        <f>14191000-1000</f>
        <v>14190000</v>
      </c>
      <c r="Q894" s="90"/>
      <c r="R894" s="95">
        <v>0</v>
      </c>
      <c r="S894" s="86">
        <f t="shared" si="35"/>
        <v>0</v>
      </c>
    </row>
    <row r="895" spans="1:19" x14ac:dyDescent="0.15">
      <c r="C895" s="88"/>
      <c r="D895" s="52"/>
      <c r="E895" s="91"/>
      <c r="F895" s="65"/>
      <c r="G895" s="66"/>
      <c r="H895" s="65"/>
      <c r="I895" s="100"/>
      <c r="J895" s="100"/>
      <c r="K895" s="100"/>
      <c r="L895" s="100"/>
      <c r="M895" s="100"/>
      <c r="N895" s="100"/>
      <c r="O895" s="100"/>
      <c r="P895" s="100"/>
      <c r="Q895" s="100"/>
      <c r="R895" s="100"/>
      <c r="S895" s="86">
        <f t="shared" si="35"/>
        <v>0</v>
      </c>
    </row>
    <row r="896" spans="1:19" x14ac:dyDescent="0.15">
      <c r="C896" s="52" t="s">
        <v>476</v>
      </c>
      <c r="D896" s="52"/>
      <c r="E896" s="91"/>
      <c r="G896" s="69"/>
      <c r="H896" s="75"/>
      <c r="I896" s="75"/>
      <c r="J896" s="75"/>
      <c r="K896" s="75"/>
      <c r="L896" s="75"/>
      <c r="M896" s="75"/>
      <c r="N896" s="75"/>
      <c r="O896" s="75"/>
      <c r="P896" s="75"/>
      <c r="Q896" s="75"/>
      <c r="R896" s="75"/>
      <c r="S896" s="86">
        <f t="shared" si="35"/>
        <v>0</v>
      </c>
    </row>
    <row r="897" spans="1:19" x14ac:dyDescent="0.15">
      <c r="C897" s="52"/>
      <c r="D897" s="52"/>
      <c r="E897" s="91" t="s">
        <v>477</v>
      </c>
      <c r="F897" s="75">
        <f>SUM(H897:L897)</f>
        <v>2229000</v>
      </c>
      <c r="G897" s="92"/>
      <c r="H897" s="90">
        <v>733000</v>
      </c>
      <c r="I897" s="93"/>
      <c r="J897" s="90">
        <v>1496000</v>
      </c>
      <c r="K897" s="93"/>
      <c r="L897" s="90">
        <v>0</v>
      </c>
      <c r="M897" s="93"/>
      <c r="N897" s="90">
        <v>1112000</v>
      </c>
      <c r="O897" s="93"/>
      <c r="P897" s="90">
        <v>1117000</v>
      </c>
      <c r="Q897" s="93"/>
      <c r="R897" s="90">
        <v>0</v>
      </c>
      <c r="S897" s="86">
        <f t="shared" si="35"/>
        <v>0</v>
      </c>
    </row>
    <row r="898" spans="1:19" x14ac:dyDescent="0.15">
      <c r="E898" s="52" t="s">
        <v>478</v>
      </c>
      <c r="F898" s="75">
        <f>SUM(H898:L898)</f>
        <v>1030000</v>
      </c>
      <c r="G898" s="92"/>
      <c r="H898" s="90">
        <v>809000</v>
      </c>
      <c r="I898" s="93"/>
      <c r="J898" s="90">
        <v>221000</v>
      </c>
      <c r="K898" s="93"/>
      <c r="L898" s="90">
        <v>0</v>
      </c>
      <c r="M898" s="93"/>
      <c r="N898" s="90">
        <v>697000</v>
      </c>
      <c r="O898" s="93"/>
      <c r="P898" s="90">
        <v>333000</v>
      </c>
      <c r="Q898" s="93"/>
      <c r="R898" s="90">
        <v>0</v>
      </c>
      <c r="S898" s="86">
        <f t="shared" si="35"/>
        <v>0</v>
      </c>
    </row>
    <row r="899" spans="1:19" x14ac:dyDescent="0.15">
      <c r="E899" s="52" t="s">
        <v>479</v>
      </c>
      <c r="F899" s="75">
        <f>SUM(H899:L899)</f>
        <v>2372000</v>
      </c>
      <c r="G899" s="92"/>
      <c r="H899" s="90">
        <v>1337000</v>
      </c>
      <c r="I899" s="93"/>
      <c r="J899" s="90">
        <v>1028000</v>
      </c>
      <c r="K899" s="93"/>
      <c r="L899" s="90">
        <v>7000</v>
      </c>
      <c r="M899" s="93"/>
      <c r="N899" s="90">
        <v>1358000</v>
      </c>
      <c r="O899" s="93"/>
      <c r="P899" s="90">
        <v>1014000</v>
      </c>
      <c r="Q899" s="93"/>
      <c r="R899" s="90">
        <v>0</v>
      </c>
      <c r="S899" s="86">
        <f t="shared" si="35"/>
        <v>0</v>
      </c>
    </row>
    <row r="900" spans="1:19" x14ac:dyDescent="0.15">
      <c r="C900" s="52"/>
      <c r="D900" s="52"/>
      <c r="E900" s="52" t="s">
        <v>480</v>
      </c>
      <c r="F900" s="94">
        <f>SUM(H900:L900)</f>
        <v>1400000</v>
      </c>
      <c r="G900" s="69"/>
      <c r="H900" s="95">
        <v>1222000</v>
      </c>
      <c r="I900" s="90"/>
      <c r="J900" s="95">
        <v>176000</v>
      </c>
      <c r="K900" s="90"/>
      <c r="L900" s="95">
        <v>2000</v>
      </c>
      <c r="M900" s="90"/>
      <c r="N900" s="95">
        <v>918000</v>
      </c>
      <c r="O900" s="90"/>
      <c r="P900" s="95">
        <v>482000</v>
      </c>
      <c r="Q900" s="90"/>
      <c r="R900" s="95">
        <v>0</v>
      </c>
      <c r="S900" s="86">
        <f t="shared" si="35"/>
        <v>0</v>
      </c>
    </row>
    <row r="901" spans="1:19" x14ac:dyDescent="0.15">
      <c r="E901" s="52" t="s">
        <v>272</v>
      </c>
      <c r="G901" s="69"/>
      <c r="H901" s="75"/>
      <c r="I901" s="75"/>
      <c r="J901" s="75"/>
      <c r="K901" s="75"/>
      <c r="L901" s="75"/>
      <c r="M901" s="75"/>
      <c r="N901" s="75"/>
      <c r="O901" s="75"/>
      <c r="P901" s="75"/>
      <c r="Q901" s="75"/>
      <c r="R901" s="75"/>
      <c r="S901" s="86">
        <f t="shared" si="35"/>
        <v>0</v>
      </c>
    </row>
    <row r="902" spans="1:19" x14ac:dyDescent="0.15">
      <c r="E902" s="52" t="s">
        <v>3</v>
      </c>
      <c r="F902" s="94">
        <f>SUM(H902:L902)</f>
        <v>7031000</v>
      </c>
      <c r="G902" s="69"/>
      <c r="H902" s="94">
        <f>SUM(H897:H901)</f>
        <v>4101000</v>
      </c>
      <c r="I902" s="75"/>
      <c r="J902" s="94">
        <f>SUM(J897:J901)</f>
        <v>2921000</v>
      </c>
      <c r="K902" s="75"/>
      <c r="L902" s="94">
        <f>SUM(L897:L901)</f>
        <v>9000</v>
      </c>
      <c r="M902" s="94"/>
      <c r="N902" s="94">
        <f>SUM(N897:N901)</f>
        <v>4085000</v>
      </c>
      <c r="O902" s="75"/>
      <c r="P902" s="94">
        <f>SUM(P897:P901)</f>
        <v>2946000</v>
      </c>
      <c r="Q902" s="75"/>
      <c r="R902" s="94">
        <f>SUM(R897:R901)</f>
        <v>0</v>
      </c>
      <c r="S902" s="86">
        <f t="shared" si="35"/>
        <v>0</v>
      </c>
    </row>
    <row r="903" spans="1:19" x14ac:dyDescent="0.15">
      <c r="G903" s="69"/>
      <c r="H903" s="75"/>
      <c r="I903" s="75"/>
      <c r="J903" s="75"/>
      <c r="K903" s="75"/>
      <c r="L903" s="75"/>
      <c r="M903" s="75"/>
      <c r="N903" s="75"/>
      <c r="O903" s="75"/>
      <c r="P903" s="75"/>
      <c r="Q903" s="75"/>
      <c r="R903" s="75"/>
      <c r="S903" s="86">
        <f t="shared" si="35"/>
        <v>0</v>
      </c>
    </row>
    <row r="904" spans="1:19" x14ac:dyDescent="0.15">
      <c r="A904" s="88"/>
      <c r="B904" s="53" t="s">
        <v>399</v>
      </c>
      <c r="C904" s="88"/>
      <c r="D904" s="88"/>
      <c r="E904" s="88"/>
      <c r="G904" s="69"/>
      <c r="H904" s="90"/>
      <c r="I904" s="90"/>
      <c r="J904" s="90"/>
      <c r="K904" s="90"/>
      <c r="L904" s="90"/>
      <c r="M904" s="90"/>
      <c r="N904" s="90"/>
      <c r="O904" s="90"/>
      <c r="P904" s="90"/>
      <c r="Q904" s="90"/>
      <c r="R904" s="90"/>
      <c r="S904" s="86">
        <f t="shared" ref="S904:S967" si="36">+F904-N904-P904+R904</f>
        <v>0</v>
      </c>
    </row>
    <row r="905" spans="1:19" x14ac:dyDescent="0.15">
      <c r="B905" s="78"/>
      <c r="C905" s="53" t="s">
        <v>400</v>
      </c>
      <c r="F905" s="94">
        <f>SUM(H905:L905)</f>
        <v>1330000</v>
      </c>
      <c r="G905" s="69"/>
      <c r="H905" s="95">
        <v>139000</v>
      </c>
      <c r="I905" s="90"/>
      <c r="J905" s="95">
        <v>1189000</v>
      </c>
      <c r="K905" s="90"/>
      <c r="L905" s="95">
        <f>1000+1000</f>
        <v>2000</v>
      </c>
      <c r="M905" s="90"/>
      <c r="N905" s="95">
        <v>1247000</v>
      </c>
      <c r="O905" s="90"/>
      <c r="P905" s="95">
        <f>82000+1000</f>
        <v>83000</v>
      </c>
      <c r="Q905" s="90"/>
      <c r="R905" s="95">
        <v>0</v>
      </c>
      <c r="S905" s="86">
        <f t="shared" si="36"/>
        <v>0</v>
      </c>
    </row>
    <row r="906" spans="1:19" x14ac:dyDescent="0.15">
      <c r="A906" s="88"/>
      <c r="B906" s="88"/>
      <c r="C906" s="88"/>
      <c r="D906" s="88"/>
      <c r="E906" s="88"/>
      <c r="G906" s="69"/>
      <c r="H906" s="90"/>
      <c r="I906" s="90"/>
      <c r="J906" s="90"/>
      <c r="K906" s="90"/>
      <c r="L906" s="90"/>
      <c r="M906" s="90"/>
      <c r="N906" s="90"/>
      <c r="O906" s="90"/>
      <c r="P906" s="90"/>
      <c r="Q906" s="90"/>
      <c r="R906" s="90"/>
      <c r="S906" s="86">
        <f t="shared" si="36"/>
        <v>0</v>
      </c>
    </row>
    <row r="907" spans="1:19" x14ac:dyDescent="0.15">
      <c r="A907" s="88"/>
      <c r="B907" s="53" t="s">
        <v>519</v>
      </c>
      <c r="C907" s="88"/>
      <c r="D907" s="88"/>
      <c r="E907" s="88"/>
      <c r="G907" s="69"/>
      <c r="H907" s="90"/>
      <c r="I907" s="90"/>
      <c r="J907" s="90"/>
      <c r="K907" s="90"/>
      <c r="L907" s="90"/>
      <c r="M907" s="90"/>
      <c r="N907" s="90"/>
      <c r="O907" s="90"/>
      <c r="P907" s="90"/>
      <c r="Q907" s="90"/>
      <c r="R907" s="90"/>
      <c r="S907" s="86">
        <f t="shared" si="36"/>
        <v>0</v>
      </c>
    </row>
    <row r="908" spans="1:19" x14ac:dyDescent="0.15">
      <c r="B908" s="78"/>
      <c r="C908" s="53" t="s">
        <v>518</v>
      </c>
      <c r="F908" s="94">
        <f>SUM(H908:L908)</f>
        <v>0</v>
      </c>
      <c r="G908" s="69"/>
      <c r="H908" s="95">
        <v>-24541000</v>
      </c>
      <c r="I908" s="90"/>
      <c r="J908" s="95">
        <v>24541000</v>
      </c>
      <c r="K908" s="90"/>
      <c r="L908" s="95">
        <v>0</v>
      </c>
      <c r="M908" s="90"/>
      <c r="N908" s="95">
        <v>0</v>
      </c>
      <c r="O908" s="90"/>
      <c r="P908" s="95">
        <v>0</v>
      </c>
      <c r="Q908" s="90"/>
      <c r="R908" s="95">
        <v>0</v>
      </c>
      <c r="S908" s="86">
        <f t="shared" si="36"/>
        <v>0</v>
      </c>
    </row>
    <row r="909" spans="1:19" x14ac:dyDescent="0.15">
      <c r="B909" s="78"/>
      <c r="G909" s="69"/>
      <c r="H909" s="90"/>
      <c r="I909" s="90"/>
      <c r="J909" s="90"/>
      <c r="K909" s="90"/>
      <c r="L909" s="90"/>
      <c r="M909" s="90"/>
      <c r="N909" s="90"/>
      <c r="O909" s="90"/>
      <c r="P909" s="90"/>
      <c r="Q909" s="90"/>
      <c r="R909" s="90"/>
      <c r="S909" s="86">
        <f t="shared" si="36"/>
        <v>0</v>
      </c>
    </row>
    <row r="910" spans="1:19" x14ac:dyDescent="0.15">
      <c r="E910" s="52" t="s">
        <v>481</v>
      </c>
      <c r="F910" s="94">
        <f>SUM(H910:L910)</f>
        <v>238758000</v>
      </c>
      <c r="G910" s="69"/>
      <c r="H910" s="94">
        <f>+H813+H815+H822+H830+H832+H834+H837+H839+H849+H853+H859+H867+H872+H878+H880+H888+H890+H892+H894+H902+H905+H908</f>
        <v>117795000</v>
      </c>
      <c r="I910" s="75"/>
      <c r="J910" s="94">
        <f>+J813+J815+J822+J830+J832+J834+J837+J839+J849+J853+J859+J867+J872+J878+J880+J888+J890+J892+J894+J902+J905+J908</f>
        <v>118861000</v>
      </c>
      <c r="K910" s="75"/>
      <c r="L910" s="94">
        <f>+L813+L815+L822+L830+L832+L834+L837+L839+L849+L853+L859+L867+L872+L878+L880+L888+L890+L892+L894+L902+L905+L908</f>
        <v>2102000</v>
      </c>
      <c r="M910" s="75"/>
      <c r="N910" s="94">
        <f>+N813+N815+N822+N830+N832+N834+N837+N839+N849+N853+N859+N867+N872+N878+N880+N888+N890+N892+N894+N902+N905+N908</f>
        <v>150382000</v>
      </c>
      <c r="O910" s="75"/>
      <c r="P910" s="94">
        <f>+P813+P815+P822+P830+P832+P834+P837+P839+P849+P853+P859+P867+P872+P878+P880+P888+P890+P892+P894+P902+P905+P908</f>
        <v>113905000</v>
      </c>
      <c r="Q910" s="75"/>
      <c r="R910" s="94">
        <f>+R813+R815+R822+R830+R832+R834+R837+R839+R849+R853+R859+R867+R872+R878+R880+R888+R890+R892+R894+R902+R905+R908</f>
        <v>25529000</v>
      </c>
      <c r="S910" s="86">
        <f t="shared" si="36"/>
        <v>0</v>
      </c>
    </row>
    <row r="911" spans="1:19" x14ac:dyDescent="0.15">
      <c r="G911" s="69"/>
      <c r="H911" s="75"/>
      <c r="I911" s="75"/>
      <c r="J911" s="75"/>
      <c r="K911" s="75"/>
      <c r="L911" s="75"/>
      <c r="M911" s="75"/>
      <c r="N911" s="75"/>
      <c r="O911" s="75"/>
      <c r="P911" s="75"/>
      <c r="Q911" s="75"/>
      <c r="R911" s="75"/>
      <c r="S911" s="86">
        <f t="shared" si="36"/>
        <v>0</v>
      </c>
    </row>
    <row r="912" spans="1:19" x14ac:dyDescent="0.15">
      <c r="A912" s="79" t="s">
        <v>482</v>
      </c>
      <c r="B912" s="88"/>
      <c r="C912" s="88"/>
      <c r="D912" s="88"/>
      <c r="E912" s="88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86">
        <f t="shared" si="36"/>
        <v>0</v>
      </c>
    </row>
    <row r="913" spans="1:19" x14ac:dyDescent="0.15">
      <c r="A913" s="78"/>
      <c r="B913" s="79" t="s">
        <v>483</v>
      </c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86">
        <f t="shared" si="36"/>
        <v>0</v>
      </c>
    </row>
    <row r="914" spans="1:19" x14ac:dyDescent="0.15"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86">
        <f t="shared" si="36"/>
        <v>0</v>
      </c>
    </row>
    <row r="915" spans="1:19" x14ac:dyDescent="0.15">
      <c r="C915" s="52" t="s">
        <v>484</v>
      </c>
      <c r="D915" s="52"/>
      <c r="E915" s="91"/>
      <c r="F915" s="75">
        <f>SUM(H915:L915)</f>
        <v>7538000</v>
      </c>
      <c r="G915" s="92"/>
      <c r="H915" s="90">
        <v>3938000</v>
      </c>
      <c r="I915" s="93"/>
      <c r="J915" s="90">
        <f>3586000+1000</f>
        <v>3587000</v>
      </c>
      <c r="K915" s="93"/>
      <c r="L915" s="90">
        <v>13000</v>
      </c>
      <c r="M915" s="93"/>
      <c r="N915" s="90">
        <v>9750000</v>
      </c>
      <c r="O915" s="93"/>
      <c r="P915" s="90">
        <v>9998000</v>
      </c>
      <c r="Q915" s="93"/>
      <c r="R915" s="90">
        <v>12210000</v>
      </c>
      <c r="S915" s="86">
        <f t="shared" si="36"/>
        <v>0</v>
      </c>
    </row>
    <row r="916" spans="1:19" x14ac:dyDescent="0.15">
      <c r="C916" s="52" t="s">
        <v>517</v>
      </c>
      <c r="D916" s="52"/>
      <c r="E916" s="91"/>
      <c r="G916" s="69"/>
      <c r="H916" s="90"/>
      <c r="I916" s="90"/>
      <c r="J916" s="90"/>
      <c r="K916" s="90"/>
      <c r="L916" s="90"/>
      <c r="M916" s="90"/>
      <c r="N916" s="90"/>
      <c r="O916" s="90"/>
      <c r="P916" s="90"/>
      <c r="Q916" s="90"/>
      <c r="R916" s="90"/>
      <c r="S916" s="86">
        <f t="shared" si="36"/>
        <v>0</v>
      </c>
    </row>
    <row r="917" spans="1:19" x14ac:dyDescent="0.15">
      <c r="C917" s="86"/>
      <c r="D917" s="52" t="s">
        <v>516</v>
      </c>
      <c r="E917" s="91"/>
      <c r="G917" s="69"/>
      <c r="H917" s="90"/>
      <c r="I917" s="90"/>
      <c r="J917" s="90"/>
      <c r="K917" s="90"/>
      <c r="L917" s="90"/>
      <c r="M917" s="90"/>
      <c r="N917" s="90"/>
      <c r="O917" s="90"/>
      <c r="P917" s="90"/>
      <c r="Q917" s="90"/>
      <c r="R917" s="90"/>
      <c r="S917" s="86">
        <f t="shared" si="36"/>
        <v>0</v>
      </c>
    </row>
    <row r="918" spans="1:19" x14ac:dyDescent="0.15">
      <c r="C918" s="86"/>
      <c r="D918" s="52"/>
      <c r="E918" s="91" t="s">
        <v>485</v>
      </c>
      <c r="F918" s="75">
        <f t="shared" ref="F918:F928" si="37">SUM(H918:L918)</f>
        <v>695000</v>
      </c>
      <c r="G918" s="92"/>
      <c r="H918" s="90">
        <v>325000</v>
      </c>
      <c r="I918" s="93"/>
      <c r="J918" s="90">
        <v>370000</v>
      </c>
      <c r="K918" s="93"/>
      <c r="L918" s="90">
        <v>0</v>
      </c>
      <c r="M918" s="93"/>
      <c r="N918" s="90">
        <v>116000</v>
      </c>
      <c r="O918" s="93"/>
      <c r="P918" s="90">
        <v>579000</v>
      </c>
      <c r="Q918" s="93"/>
      <c r="R918" s="90">
        <v>0</v>
      </c>
      <c r="S918" s="86">
        <f t="shared" si="36"/>
        <v>0</v>
      </c>
    </row>
    <row r="919" spans="1:19" x14ac:dyDescent="0.15">
      <c r="C919" s="86"/>
      <c r="D919" s="52"/>
      <c r="E919" s="91" t="s">
        <v>486</v>
      </c>
      <c r="F919" s="75">
        <f t="shared" si="37"/>
        <v>15672000</v>
      </c>
      <c r="G919" s="92"/>
      <c r="H919" s="90">
        <v>12216000</v>
      </c>
      <c r="I919" s="93"/>
      <c r="J919" s="90">
        <v>3456000</v>
      </c>
      <c r="K919" s="93"/>
      <c r="L919" s="90">
        <v>0</v>
      </c>
      <c r="M919" s="93"/>
      <c r="N919" s="90">
        <v>9662000</v>
      </c>
      <c r="O919" s="93"/>
      <c r="P919" s="90">
        <v>9863000</v>
      </c>
      <c r="Q919" s="93"/>
      <c r="R919" s="90">
        <v>3853000</v>
      </c>
      <c r="S919" s="86">
        <f t="shared" si="36"/>
        <v>0</v>
      </c>
    </row>
    <row r="920" spans="1:19" x14ac:dyDescent="0.15">
      <c r="C920" s="86"/>
      <c r="D920" s="52"/>
      <c r="E920" s="91" t="s">
        <v>487</v>
      </c>
      <c r="F920" s="75">
        <f t="shared" si="37"/>
        <v>718000</v>
      </c>
      <c r="G920" s="92"/>
      <c r="H920" s="90">
        <v>648000</v>
      </c>
      <c r="I920" s="93"/>
      <c r="J920" s="90">
        <v>70000</v>
      </c>
      <c r="K920" s="93"/>
      <c r="L920" s="90">
        <v>0</v>
      </c>
      <c r="M920" s="93"/>
      <c r="N920" s="90">
        <v>320000</v>
      </c>
      <c r="O920" s="93"/>
      <c r="P920" s="90">
        <f>399000-1000</f>
        <v>398000</v>
      </c>
      <c r="Q920" s="93"/>
      <c r="R920" s="90">
        <v>0</v>
      </c>
      <c r="S920" s="86">
        <f t="shared" si="36"/>
        <v>0</v>
      </c>
    </row>
    <row r="921" spans="1:19" ht="16.5" customHeight="1" x14ac:dyDescent="0.15">
      <c r="C921" s="52" t="s">
        <v>488</v>
      </c>
      <c r="D921" s="52"/>
      <c r="E921" s="91"/>
      <c r="F921" s="75">
        <f t="shared" si="37"/>
        <v>2836000</v>
      </c>
      <c r="G921" s="92"/>
      <c r="H921" s="90">
        <f>2525000-1000</f>
        <v>2524000</v>
      </c>
      <c r="I921" s="93"/>
      <c r="J921" s="90">
        <v>293000</v>
      </c>
      <c r="K921" s="93"/>
      <c r="L921" s="90">
        <v>19000</v>
      </c>
      <c r="M921" s="93"/>
      <c r="N921" s="90">
        <v>1899000</v>
      </c>
      <c r="O921" s="93"/>
      <c r="P921" s="90">
        <v>1503000</v>
      </c>
      <c r="Q921" s="93"/>
      <c r="R921" s="90">
        <f>567000-1000</f>
        <v>566000</v>
      </c>
      <c r="S921" s="86">
        <f t="shared" si="36"/>
        <v>0</v>
      </c>
    </row>
    <row r="922" spans="1:19" ht="16.5" customHeight="1" x14ac:dyDescent="0.15">
      <c r="C922" s="52" t="s">
        <v>489</v>
      </c>
      <c r="D922" s="52"/>
      <c r="E922" s="91"/>
      <c r="F922" s="75">
        <f t="shared" si="37"/>
        <v>12295000</v>
      </c>
      <c r="G922" s="92"/>
      <c r="H922" s="90">
        <v>10034000</v>
      </c>
      <c r="I922" s="93"/>
      <c r="J922" s="90">
        <v>2261000</v>
      </c>
      <c r="K922" s="93"/>
      <c r="L922" s="90">
        <v>0</v>
      </c>
      <c r="M922" s="93"/>
      <c r="N922" s="90">
        <f>7994000+1000</f>
        <v>7995000</v>
      </c>
      <c r="O922" s="93"/>
      <c r="P922" s="90">
        <v>7599000</v>
      </c>
      <c r="Q922" s="93"/>
      <c r="R922" s="90">
        <v>3299000</v>
      </c>
      <c r="S922" s="86">
        <f t="shared" si="36"/>
        <v>0</v>
      </c>
    </row>
    <row r="923" spans="1:19" ht="16.5" customHeight="1" x14ac:dyDescent="0.15">
      <c r="C923" s="52" t="s">
        <v>234</v>
      </c>
      <c r="D923" s="52"/>
      <c r="E923" s="91"/>
      <c r="F923" s="75">
        <f t="shared" si="37"/>
        <v>7476000</v>
      </c>
      <c r="G923" s="92"/>
      <c r="H923" s="90">
        <v>1695000</v>
      </c>
      <c r="I923" s="93"/>
      <c r="J923" s="90">
        <v>5469000</v>
      </c>
      <c r="K923" s="93"/>
      <c r="L923" s="90">
        <v>312000</v>
      </c>
      <c r="M923" s="93"/>
      <c r="N923" s="90">
        <f>712000+1000</f>
        <v>713000</v>
      </c>
      <c r="O923" s="93"/>
      <c r="P923" s="90">
        <f>7144000+1000</f>
        <v>7145000</v>
      </c>
      <c r="Q923" s="93"/>
      <c r="R923" s="90">
        <f>381000+1000</f>
        <v>382000</v>
      </c>
      <c r="S923" s="86">
        <f t="shared" si="36"/>
        <v>0</v>
      </c>
    </row>
    <row r="924" spans="1:19" ht="16.5" customHeight="1" x14ac:dyDescent="0.15">
      <c r="C924" s="52" t="s">
        <v>490</v>
      </c>
      <c r="D924" s="52"/>
      <c r="E924" s="91"/>
      <c r="F924" s="75">
        <f t="shared" si="37"/>
        <v>2000</v>
      </c>
      <c r="G924" s="92"/>
      <c r="H924" s="90">
        <v>0</v>
      </c>
      <c r="I924" s="93"/>
      <c r="J924" s="90">
        <v>2000</v>
      </c>
      <c r="K924" s="93"/>
      <c r="L924" s="90">
        <v>0</v>
      </c>
      <c r="M924" s="93"/>
      <c r="N924" s="90">
        <v>17000</v>
      </c>
      <c r="O924" s="93"/>
      <c r="P924" s="90">
        <v>18000</v>
      </c>
      <c r="Q924" s="93"/>
      <c r="R924" s="90">
        <v>33000</v>
      </c>
      <c r="S924" s="86">
        <f t="shared" si="36"/>
        <v>0</v>
      </c>
    </row>
    <row r="925" spans="1:19" ht="16.5" customHeight="1" x14ac:dyDescent="0.15">
      <c r="C925" s="52" t="s">
        <v>491</v>
      </c>
      <c r="D925" s="52"/>
      <c r="E925" s="91"/>
      <c r="F925" s="75">
        <f t="shared" si="37"/>
        <v>4653000</v>
      </c>
      <c r="G925" s="92"/>
      <c r="H925" s="90">
        <f>847000+1000</f>
        <v>848000</v>
      </c>
      <c r="I925" s="93"/>
      <c r="J925" s="90">
        <v>3805000</v>
      </c>
      <c r="K925" s="93"/>
      <c r="L925" s="90">
        <f>1000-1000</f>
        <v>0</v>
      </c>
      <c r="M925" s="93"/>
      <c r="N925" s="90">
        <v>2486000</v>
      </c>
      <c r="O925" s="93"/>
      <c r="P925" s="90">
        <v>3227000</v>
      </c>
      <c r="Q925" s="93"/>
      <c r="R925" s="90">
        <v>1060000</v>
      </c>
      <c r="S925" s="86">
        <f t="shared" si="36"/>
        <v>0</v>
      </c>
    </row>
    <row r="926" spans="1:19" ht="16.5" customHeight="1" x14ac:dyDescent="0.15">
      <c r="C926" s="52" t="s">
        <v>492</v>
      </c>
      <c r="D926" s="52"/>
      <c r="E926" s="91"/>
      <c r="F926" s="75">
        <f t="shared" si="37"/>
        <v>30940000</v>
      </c>
      <c r="G926" s="92"/>
      <c r="H926" s="90">
        <v>29552000</v>
      </c>
      <c r="I926" s="93"/>
      <c r="J926" s="90">
        <v>1388000</v>
      </c>
      <c r="K926" s="93"/>
      <c r="L926" s="90">
        <v>0</v>
      </c>
      <c r="M926" s="93"/>
      <c r="N926" s="90">
        <v>2523000</v>
      </c>
      <c r="O926" s="93"/>
      <c r="P926" s="90">
        <f>29784000+1000</f>
        <v>29785000</v>
      </c>
      <c r="Q926" s="93"/>
      <c r="R926" s="90">
        <v>1368000</v>
      </c>
      <c r="S926" s="86">
        <f t="shared" si="36"/>
        <v>0</v>
      </c>
    </row>
    <row r="927" spans="1:19" ht="16.5" customHeight="1" x14ac:dyDescent="0.15">
      <c r="C927" s="52" t="s">
        <v>493</v>
      </c>
      <c r="D927" s="52"/>
      <c r="E927" s="91"/>
      <c r="F927" s="75">
        <f t="shared" si="37"/>
        <v>-83000</v>
      </c>
      <c r="G927" s="92"/>
      <c r="H927" s="90">
        <v>-65000</v>
      </c>
      <c r="I927" s="93"/>
      <c r="J927" s="90">
        <v>-18000</v>
      </c>
      <c r="K927" s="93"/>
      <c r="L927" s="90">
        <v>0</v>
      </c>
      <c r="M927" s="93"/>
      <c r="N927" s="90">
        <v>-80000</v>
      </c>
      <c r="O927" s="93"/>
      <c r="P927" s="90">
        <v>-3000</v>
      </c>
      <c r="Q927" s="93"/>
      <c r="R927" s="90">
        <v>0</v>
      </c>
      <c r="S927" s="86">
        <f t="shared" si="36"/>
        <v>0</v>
      </c>
    </row>
    <row r="928" spans="1:19" x14ac:dyDescent="0.15">
      <c r="C928" s="52" t="s">
        <v>245</v>
      </c>
      <c r="D928" s="52"/>
      <c r="E928" s="91"/>
      <c r="F928" s="94">
        <f t="shared" si="37"/>
        <v>0</v>
      </c>
      <c r="G928" s="69"/>
      <c r="H928" s="95">
        <v>-3088000</v>
      </c>
      <c r="I928" s="90"/>
      <c r="J928" s="95">
        <v>3088000</v>
      </c>
      <c r="K928" s="90"/>
      <c r="L928" s="95">
        <v>0</v>
      </c>
      <c r="M928" s="90"/>
      <c r="N928" s="95">
        <v>0</v>
      </c>
      <c r="O928" s="90"/>
      <c r="P928" s="95">
        <v>0</v>
      </c>
      <c r="Q928" s="90"/>
      <c r="R928" s="95">
        <v>0</v>
      </c>
      <c r="S928" s="86">
        <f t="shared" si="36"/>
        <v>0</v>
      </c>
    </row>
    <row r="929" spans="1:19" x14ac:dyDescent="0.15">
      <c r="C929" s="52"/>
      <c r="D929" s="52"/>
      <c r="E929" s="91"/>
      <c r="G929" s="69"/>
      <c r="H929" s="90"/>
      <c r="I929" s="90"/>
      <c r="J929" s="90"/>
      <c r="K929" s="90"/>
      <c r="L929" s="90"/>
      <c r="M929" s="90"/>
      <c r="N929" s="90"/>
      <c r="O929" s="90"/>
      <c r="P929" s="90"/>
      <c r="Q929" s="90"/>
      <c r="R929" s="90"/>
      <c r="S929" s="86">
        <f t="shared" si="36"/>
        <v>0</v>
      </c>
    </row>
    <row r="930" spans="1:19" x14ac:dyDescent="0.15">
      <c r="E930" s="52" t="s">
        <v>494</v>
      </c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86">
        <f t="shared" si="36"/>
        <v>0</v>
      </c>
    </row>
    <row r="931" spans="1:19" x14ac:dyDescent="0.15">
      <c r="E931" s="52" t="s">
        <v>495</v>
      </c>
      <c r="F931" s="94">
        <f>SUM(H931:L931)</f>
        <v>82742000</v>
      </c>
      <c r="G931" s="69"/>
      <c r="H931" s="94">
        <f>SUM(H915:H928)</f>
        <v>58627000</v>
      </c>
      <c r="I931" s="75"/>
      <c r="J931" s="94">
        <f>SUM(J915:J928)</f>
        <v>23771000</v>
      </c>
      <c r="K931" s="75"/>
      <c r="L931" s="94">
        <f>SUM(L915:L928)</f>
        <v>344000</v>
      </c>
      <c r="M931" s="75"/>
      <c r="N931" s="94">
        <f>SUM(N915:N928)</f>
        <v>35401000</v>
      </c>
      <c r="O931" s="75"/>
      <c r="P931" s="94">
        <f>SUM(P915:P928)</f>
        <v>70112000</v>
      </c>
      <c r="Q931" s="75"/>
      <c r="R931" s="94">
        <f>SUM(R915:R928)</f>
        <v>22771000</v>
      </c>
      <c r="S931" s="86">
        <f t="shared" si="36"/>
        <v>0</v>
      </c>
    </row>
    <row r="932" spans="1:19" x14ac:dyDescent="0.15">
      <c r="A932" s="88"/>
      <c r="B932" s="88"/>
      <c r="C932" s="88"/>
      <c r="D932" s="88"/>
      <c r="E932" s="88"/>
      <c r="G932" s="69"/>
      <c r="H932" s="75"/>
      <c r="I932" s="69"/>
      <c r="J932" s="75"/>
      <c r="K932" s="69"/>
      <c r="L932" s="69"/>
      <c r="M932" s="69"/>
      <c r="N932" s="69"/>
      <c r="O932" s="69"/>
      <c r="P932" s="75"/>
      <c r="Q932" s="69"/>
      <c r="R932" s="69"/>
      <c r="S932" s="86">
        <f t="shared" si="36"/>
        <v>0</v>
      </c>
    </row>
    <row r="933" spans="1:19" x14ac:dyDescent="0.15">
      <c r="A933" s="79" t="s">
        <v>496</v>
      </c>
      <c r="F933" s="94">
        <f>SUM(H933:L933)</f>
        <v>339301000</v>
      </c>
      <c r="G933" s="69"/>
      <c r="H933" s="95">
        <v>10694000</v>
      </c>
      <c r="I933" s="90"/>
      <c r="J933" s="95">
        <v>189395000</v>
      </c>
      <c r="K933" s="90"/>
      <c r="L933" s="95">
        <v>139212000</v>
      </c>
      <c r="M933" s="90"/>
      <c r="N933" s="95">
        <v>0</v>
      </c>
      <c r="O933" s="90"/>
      <c r="P933" s="95">
        <v>339301000</v>
      </c>
      <c r="Q933" s="90"/>
      <c r="R933" s="95">
        <v>0</v>
      </c>
      <c r="S933" s="86">
        <f t="shared" si="36"/>
        <v>0</v>
      </c>
    </row>
    <row r="934" spans="1:19" x14ac:dyDescent="0.15">
      <c r="A934" s="79"/>
      <c r="G934" s="69"/>
      <c r="H934" s="90"/>
      <c r="I934" s="90"/>
      <c r="J934" s="90"/>
      <c r="K934" s="90"/>
      <c r="L934" s="90"/>
      <c r="M934" s="90"/>
      <c r="N934" s="90"/>
      <c r="O934" s="90"/>
      <c r="P934" s="90"/>
      <c r="Q934" s="90"/>
      <c r="R934" s="90"/>
      <c r="S934" s="86">
        <f t="shared" si="36"/>
        <v>0</v>
      </c>
    </row>
    <row r="935" spans="1:19" x14ac:dyDescent="0.15">
      <c r="A935" s="79"/>
      <c r="C935" s="52" t="s">
        <v>497</v>
      </c>
      <c r="F935" s="94">
        <f>SUM(H935:L935)</f>
        <v>-204181000</v>
      </c>
      <c r="G935" s="69"/>
      <c r="H935" s="95">
        <v>0</v>
      </c>
      <c r="I935" s="90"/>
      <c r="J935" s="95">
        <v>-204181000</v>
      </c>
      <c r="K935" s="90"/>
      <c r="L935" s="95">
        <v>0</v>
      </c>
      <c r="M935" s="90"/>
      <c r="N935" s="95">
        <v>0</v>
      </c>
      <c r="O935" s="90"/>
      <c r="P935" s="95">
        <v>-204181000</v>
      </c>
      <c r="Q935" s="90"/>
      <c r="R935" s="95">
        <v>0</v>
      </c>
      <c r="S935" s="86">
        <f t="shared" si="36"/>
        <v>0</v>
      </c>
    </row>
    <row r="936" spans="1:19" x14ac:dyDescent="0.15">
      <c r="A936" s="79"/>
      <c r="G936" s="69"/>
      <c r="H936" s="75"/>
      <c r="I936" s="75"/>
      <c r="J936" s="75"/>
      <c r="K936" s="75"/>
      <c r="L936" s="75"/>
      <c r="M936" s="75"/>
      <c r="N936" s="75"/>
      <c r="O936" s="75"/>
      <c r="P936" s="75"/>
      <c r="Q936" s="75"/>
      <c r="R936" s="75"/>
      <c r="S936" s="86">
        <f t="shared" si="36"/>
        <v>0</v>
      </c>
    </row>
    <row r="937" spans="1:19" x14ac:dyDescent="0.15">
      <c r="A937" s="79"/>
      <c r="E937" s="52" t="s">
        <v>498</v>
      </c>
      <c r="F937" s="94">
        <f>SUM(H937:L937)</f>
        <v>135120000</v>
      </c>
      <c r="G937" s="69"/>
      <c r="H937" s="94">
        <f>+H933+H935</f>
        <v>10694000</v>
      </c>
      <c r="I937" s="75"/>
      <c r="J937" s="94">
        <f>+J933+J935</f>
        <v>-14786000</v>
      </c>
      <c r="K937" s="75"/>
      <c r="L937" s="94">
        <f>+L933+L935</f>
        <v>139212000</v>
      </c>
      <c r="M937" s="75"/>
      <c r="N937" s="94">
        <f>+N933+N935</f>
        <v>0</v>
      </c>
      <c r="O937" s="75"/>
      <c r="P937" s="94">
        <f>+P933+P935</f>
        <v>135120000</v>
      </c>
      <c r="Q937" s="75"/>
      <c r="R937" s="94">
        <f>+R933+R935</f>
        <v>0</v>
      </c>
      <c r="S937" s="86">
        <f t="shared" si="36"/>
        <v>0</v>
      </c>
    </row>
    <row r="938" spans="1:19" x14ac:dyDescent="0.15">
      <c r="A938" s="88"/>
      <c r="B938" s="88"/>
      <c r="C938" s="88"/>
      <c r="D938" s="88"/>
      <c r="E938" s="88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86">
        <f t="shared" si="36"/>
        <v>0</v>
      </c>
    </row>
    <row r="939" spans="1:19" x14ac:dyDescent="0.15">
      <c r="A939" s="79" t="s">
        <v>499</v>
      </c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86">
        <f t="shared" si="36"/>
        <v>0</v>
      </c>
    </row>
    <row r="940" spans="1:19" x14ac:dyDescent="0.15">
      <c r="A940" s="88"/>
      <c r="B940" s="88"/>
      <c r="C940" s="88"/>
      <c r="D940" s="88"/>
      <c r="E940" s="88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86">
        <f t="shared" si="36"/>
        <v>0</v>
      </c>
    </row>
    <row r="941" spans="1:19" x14ac:dyDescent="0.15">
      <c r="B941" s="52" t="s">
        <v>500</v>
      </c>
      <c r="C941" s="86"/>
      <c r="D941" s="52"/>
      <c r="F941" s="94">
        <f>SUM(H941:L941)</f>
        <v>5639000</v>
      </c>
      <c r="G941" s="69"/>
      <c r="H941" s="95">
        <v>0</v>
      </c>
      <c r="I941" s="90"/>
      <c r="J941" s="95">
        <v>5611000</v>
      </c>
      <c r="K941" s="90"/>
      <c r="L941" s="95">
        <v>28000</v>
      </c>
      <c r="M941" s="90"/>
      <c r="N941" s="95">
        <v>2396000</v>
      </c>
      <c r="O941" s="90"/>
      <c r="P941" s="95">
        <v>3243000</v>
      </c>
      <c r="Q941" s="90"/>
      <c r="R941" s="95">
        <v>0</v>
      </c>
      <c r="S941" s="86">
        <f t="shared" si="36"/>
        <v>0</v>
      </c>
    </row>
    <row r="942" spans="1:19" x14ac:dyDescent="0.15">
      <c r="C942" s="86"/>
      <c r="D942" s="52"/>
      <c r="G942" s="69"/>
      <c r="H942" s="75"/>
      <c r="I942" s="75"/>
      <c r="J942" s="75"/>
      <c r="K942" s="75"/>
      <c r="L942" s="75"/>
      <c r="M942" s="75"/>
      <c r="N942" s="75"/>
      <c r="O942" s="75"/>
      <c r="P942" s="75"/>
      <c r="Q942" s="75"/>
      <c r="R942" s="75"/>
      <c r="S942" s="86">
        <f t="shared" si="36"/>
        <v>0</v>
      </c>
    </row>
    <row r="943" spans="1:19" x14ac:dyDescent="0.15">
      <c r="B943" s="53" t="s">
        <v>501</v>
      </c>
      <c r="C943" s="86"/>
      <c r="D943" s="52"/>
      <c r="E943" s="91"/>
      <c r="F943" s="94">
        <f>SUM(H943:L943)</f>
        <v>13605000</v>
      </c>
      <c r="G943" s="69"/>
      <c r="H943" s="95">
        <v>0</v>
      </c>
      <c r="I943" s="90"/>
      <c r="J943" s="95">
        <v>13558000</v>
      </c>
      <c r="K943" s="90"/>
      <c r="L943" s="95">
        <v>47000</v>
      </c>
      <c r="M943" s="90"/>
      <c r="N943" s="95">
        <v>5059000</v>
      </c>
      <c r="O943" s="90"/>
      <c r="P943" s="95">
        <v>11450000</v>
      </c>
      <c r="Q943" s="90"/>
      <c r="R943" s="95">
        <v>2904000</v>
      </c>
      <c r="S943" s="86">
        <f t="shared" si="36"/>
        <v>0</v>
      </c>
    </row>
    <row r="944" spans="1:19" x14ac:dyDescent="0.15">
      <c r="B944" s="52"/>
      <c r="C944" s="86"/>
      <c r="D944" s="52"/>
      <c r="E944" s="91"/>
      <c r="G944" s="69"/>
      <c r="H944" s="90"/>
      <c r="I944" s="90"/>
      <c r="J944" s="90"/>
      <c r="K944" s="90"/>
      <c r="L944" s="90"/>
      <c r="M944" s="90"/>
      <c r="N944" s="90"/>
      <c r="O944" s="90"/>
      <c r="P944" s="90"/>
      <c r="Q944" s="90"/>
      <c r="R944" s="90"/>
      <c r="S944" s="86">
        <f t="shared" si="36"/>
        <v>0</v>
      </c>
    </row>
    <row r="945" spans="1:19" x14ac:dyDescent="0.15">
      <c r="B945" s="52" t="s">
        <v>502</v>
      </c>
      <c r="C945" s="86"/>
      <c r="F945" s="94">
        <f>SUM(H945:L945)</f>
        <v>58689000</v>
      </c>
      <c r="G945" s="69"/>
      <c r="H945" s="94">
        <v>0</v>
      </c>
      <c r="I945" s="69"/>
      <c r="J945" s="94">
        <v>58503000</v>
      </c>
      <c r="K945" s="69"/>
      <c r="L945" s="94">
        <v>186000</v>
      </c>
      <c r="M945" s="69"/>
      <c r="N945" s="94">
        <v>29624000</v>
      </c>
      <c r="O945" s="69"/>
      <c r="P945" s="94">
        <v>32319000</v>
      </c>
      <c r="Q945" s="69"/>
      <c r="R945" s="94">
        <v>3254000</v>
      </c>
      <c r="S945" s="86">
        <f t="shared" si="36"/>
        <v>0</v>
      </c>
    </row>
    <row r="946" spans="1:19" x14ac:dyDescent="0.15">
      <c r="E946" s="52" t="s">
        <v>22</v>
      </c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86">
        <f t="shared" si="36"/>
        <v>0</v>
      </c>
    </row>
    <row r="947" spans="1:19" x14ac:dyDescent="0.15">
      <c r="B947" s="53" t="s">
        <v>503</v>
      </c>
      <c r="F947" s="94">
        <f>SUM(H947:L947)</f>
        <v>22331000</v>
      </c>
      <c r="G947" s="69"/>
      <c r="H947" s="95">
        <v>0</v>
      </c>
      <c r="I947" s="90"/>
      <c r="J947" s="95">
        <v>19243000</v>
      </c>
      <c r="K947" s="90"/>
      <c r="L947" s="95">
        <v>3088000</v>
      </c>
      <c r="M947" s="90"/>
      <c r="N947" s="95">
        <v>9302000</v>
      </c>
      <c r="O947" s="90"/>
      <c r="P947" s="95">
        <f>13189000+1000</f>
        <v>13190000</v>
      </c>
      <c r="Q947" s="90"/>
      <c r="R947" s="95">
        <v>161000</v>
      </c>
      <c r="S947" s="86">
        <f t="shared" si="36"/>
        <v>0</v>
      </c>
    </row>
    <row r="948" spans="1:19" x14ac:dyDescent="0.15">
      <c r="A948" s="88"/>
      <c r="B948" s="88"/>
      <c r="C948" s="88"/>
      <c r="D948" s="88"/>
      <c r="E948" s="88"/>
      <c r="G948" s="69"/>
      <c r="H948" s="90"/>
      <c r="I948" s="90"/>
      <c r="J948" s="90"/>
      <c r="K948" s="90"/>
      <c r="L948" s="90"/>
      <c r="M948" s="90"/>
      <c r="N948" s="90"/>
      <c r="O948" s="90"/>
      <c r="P948" s="90"/>
      <c r="Q948" s="90"/>
      <c r="R948" s="90"/>
      <c r="S948" s="86">
        <f t="shared" si="36"/>
        <v>0</v>
      </c>
    </row>
    <row r="949" spans="1:19" x14ac:dyDescent="0.15">
      <c r="B949" s="53" t="s">
        <v>504</v>
      </c>
      <c r="F949" s="94">
        <f>SUM(H949:L949)</f>
        <v>2509000</v>
      </c>
      <c r="G949" s="69"/>
      <c r="H949" s="95">
        <v>0</v>
      </c>
      <c r="I949" s="90"/>
      <c r="J949" s="95">
        <v>2509000</v>
      </c>
      <c r="K949" s="90"/>
      <c r="L949" s="95">
        <v>0</v>
      </c>
      <c r="M949" s="90"/>
      <c r="N949" s="95">
        <v>1608000</v>
      </c>
      <c r="O949" s="90"/>
      <c r="P949" s="95">
        <v>3336000</v>
      </c>
      <c r="Q949" s="90"/>
      <c r="R949" s="95">
        <v>2435000</v>
      </c>
      <c r="S949" s="86">
        <f t="shared" si="36"/>
        <v>0</v>
      </c>
    </row>
    <row r="950" spans="1:19" x14ac:dyDescent="0.15">
      <c r="A950" s="88"/>
      <c r="B950" s="88"/>
      <c r="C950" s="88"/>
      <c r="D950" s="88"/>
      <c r="E950" s="88"/>
      <c r="G950" s="69"/>
      <c r="H950" s="90"/>
      <c r="I950" s="90"/>
      <c r="J950" s="90"/>
      <c r="K950" s="90"/>
      <c r="L950" s="90"/>
      <c r="M950" s="90"/>
      <c r="N950" s="90"/>
      <c r="O950" s="90"/>
      <c r="P950" s="90"/>
      <c r="Q950" s="90"/>
      <c r="R950" s="90"/>
      <c r="S950" s="86">
        <f t="shared" si="36"/>
        <v>0</v>
      </c>
    </row>
    <row r="951" spans="1:19" x14ac:dyDescent="0.15">
      <c r="A951" s="88"/>
      <c r="B951" s="88" t="s">
        <v>456</v>
      </c>
      <c r="C951" s="88"/>
      <c r="D951" s="88"/>
      <c r="E951" s="88"/>
      <c r="F951" s="94">
        <f>SUM(H951:L951)</f>
        <v>21987000</v>
      </c>
      <c r="G951" s="69"/>
      <c r="H951" s="95">
        <v>-1320000</v>
      </c>
      <c r="I951" s="90"/>
      <c r="J951" s="95">
        <v>23248000</v>
      </c>
      <c r="K951" s="90"/>
      <c r="L951" s="95">
        <v>59000</v>
      </c>
      <c r="M951" s="90"/>
      <c r="N951" s="95">
        <v>3864000</v>
      </c>
      <c r="O951" s="90"/>
      <c r="P951" s="95">
        <v>18478000</v>
      </c>
      <c r="Q951" s="90"/>
      <c r="R951" s="95">
        <v>355000</v>
      </c>
      <c r="S951" s="86">
        <f t="shared" si="36"/>
        <v>0</v>
      </c>
    </row>
    <row r="952" spans="1:19" x14ac:dyDescent="0.15">
      <c r="A952" s="88"/>
      <c r="B952" s="88"/>
      <c r="C952" s="88"/>
      <c r="D952" s="88"/>
      <c r="E952" s="88"/>
      <c r="G952" s="69"/>
      <c r="H952" s="90"/>
      <c r="I952" s="90"/>
      <c r="J952" s="90"/>
      <c r="K952" s="90"/>
      <c r="L952" s="90"/>
      <c r="M952" s="90"/>
      <c r="N952" s="90"/>
      <c r="O952" s="90"/>
      <c r="P952" s="90"/>
      <c r="Q952" s="90"/>
      <c r="R952" s="90"/>
      <c r="S952" s="86">
        <f t="shared" si="36"/>
        <v>0</v>
      </c>
    </row>
    <row r="953" spans="1:19" x14ac:dyDescent="0.15">
      <c r="A953" s="88"/>
      <c r="B953" s="53" t="s">
        <v>399</v>
      </c>
      <c r="C953" s="88"/>
      <c r="D953" s="88"/>
      <c r="E953" s="88"/>
      <c r="G953" s="69"/>
      <c r="H953" s="90"/>
      <c r="I953" s="90"/>
      <c r="J953" s="90"/>
      <c r="K953" s="90"/>
      <c r="L953" s="90"/>
      <c r="M953" s="90"/>
      <c r="N953" s="90"/>
      <c r="O953" s="90"/>
      <c r="P953" s="90"/>
      <c r="Q953" s="90"/>
      <c r="R953" s="90"/>
      <c r="S953" s="86">
        <f t="shared" si="36"/>
        <v>0</v>
      </c>
    </row>
    <row r="954" spans="1:19" x14ac:dyDescent="0.15">
      <c r="B954" s="78"/>
      <c r="C954" s="53" t="s">
        <v>400</v>
      </c>
      <c r="F954" s="94">
        <f>SUM(H954:L954)</f>
        <v>70000</v>
      </c>
      <c r="G954" s="69"/>
      <c r="H954" s="95">
        <v>0</v>
      </c>
      <c r="I954" s="90"/>
      <c r="J954" s="95">
        <v>70000</v>
      </c>
      <c r="K954" s="90"/>
      <c r="L954" s="95">
        <f>1000-1000</f>
        <v>0</v>
      </c>
      <c r="M954" s="90"/>
      <c r="N954" s="95">
        <v>67000</v>
      </c>
      <c r="O954" s="90"/>
      <c r="P954" s="95">
        <v>3000</v>
      </c>
      <c r="Q954" s="90"/>
      <c r="R954" s="95">
        <v>0</v>
      </c>
      <c r="S954" s="86">
        <f t="shared" si="36"/>
        <v>0</v>
      </c>
    </row>
    <row r="955" spans="1:19" x14ac:dyDescent="0.15">
      <c r="B955" s="78"/>
      <c r="G955" s="69"/>
      <c r="H955" s="90"/>
      <c r="I955" s="90"/>
      <c r="J955" s="90"/>
      <c r="K955" s="90"/>
      <c r="L955" s="90"/>
      <c r="M955" s="90"/>
      <c r="N955" s="90"/>
      <c r="O955" s="90"/>
      <c r="P955" s="90"/>
      <c r="Q955" s="90"/>
      <c r="R955" s="90"/>
      <c r="S955" s="86">
        <f t="shared" si="36"/>
        <v>0</v>
      </c>
    </row>
    <row r="956" spans="1:19" x14ac:dyDescent="0.15">
      <c r="E956" s="52" t="s">
        <v>505</v>
      </c>
      <c r="F956" s="94">
        <f>SUM(H956:L956)</f>
        <v>124830000</v>
      </c>
      <c r="G956" s="75"/>
      <c r="H956" s="94">
        <f>+H947+H949+H951+H954+H945+H941+H943</f>
        <v>-1320000</v>
      </c>
      <c r="I956" s="75"/>
      <c r="J956" s="94">
        <f>+J947+J949+J951+J954+J945+J941+J943</f>
        <v>122742000</v>
      </c>
      <c r="K956" s="75"/>
      <c r="L956" s="94">
        <f>+L947+L949+L951+L954+L945+L941+L943</f>
        <v>3408000</v>
      </c>
      <c r="M956" s="75"/>
      <c r="N956" s="94">
        <f>+N947+N949+N951+N954+N945+N941+N943</f>
        <v>51920000</v>
      </c>
      <c r="O956" s="75"/>
      <c r="P956" s="94">
        <f>+P947+P949+P951+P954+P945+P941+P943</f>
        <v>82019000</v>
      </c>
      <c r="Q956" s="75"/>
      <c r="R956" s="94">
        <f>+R947+R949+R951+R954+R945+R941+R943</f>
        <v>9109000</v>
      </c>
      <c r="S956" s="86">
        <f t="shared" si="36"/>
        <v>0</v>
      </c>
    </row>
    <row r="957" spans="1:19" x14ac:dyDescent="0.15">
      <c r="G957" s="75"/>
      <c r="H957" s="75"/>
      <c r="I957" s="75"/>
      <c r="J957" s="75"/>
      <c r="K957" s="75"/>
      <c r="L957" s="75"/>
      <c r="M957" s="75"/>
      <c r="N957" s="75"/>
      <c r="O957" s="75"/>
      <c r="P957" s="75"/>
      <c r="Q957" s="75"/>
      <c r="R957" s="75"/>
      <c r="S957" s="86">
        <f t="shared" si="36"/>
        <v>0</v>
      </c>
    </row>
    <row r="958" spans="1:19" x14ac:dyDescent="0.15">
      <c r="G958" s="75"/>
      <c r="H958" s="75"/>
      <c r="I958" s="75"/>
      <c r="J958" s="75"/>
      <c r="K958" s="75"/>
      <c r="L958" s="75"/>
      <c r="M958" s="75"/>
      <c r="N958" s="75"/>
      <c r="O958" s="75"/>
      <c r="P958" s="75"/>
      <c r="Q958" s="75"/>
      <c r="R958" s="75"/>
      <c r="S958" s="86">
        <f t="shared" si="36"/>
        <v>0</v>
      </c>
    </row>
    <row r="959" spans="1:19" x14ac:dyDescent="0.15">
      <c r="E959" s="52" t="s">
        <v>506</v>
      </c>
      <c r="F959" s="94">
        <f>SUM(H959:L959)</f>
        <v>2251432200.8499999</v>
      </c>
      <c r="G959" s="75"/>
      <c r="H959" s="94">
        <f>H36+H50+H70+H82+H137+H163+H177+H189+H347+H357+H394+H404+H416+H428+H440+H479+H489+H493+H497+H692+H779+H910+H931+H937+H956</f>
        <v>524319863.29000002</v>
      </c>
      <c r="I959" s="75"/>
      <c r="J959" s="94">
        <f>J36+J50+J70+J82+J137+J163+J177+J189+J347+J357+J394+J404+J416+J428+J440+J479+J489+J493+J497+J692+J779+J910+J931+J937+J956</f>
        <v>904937124.07999992</v>
      </c>
      <c r="K959" s="75"/>
      <c r="L959" s="94">
        <f>L36+L50+L70+L82+L137+L163+L177+L189+L347+L357+L394+L404+L416+L428+L440+L479+L489+L493+L497+L692+L779+L910+L931+L937+L956</f>
        <v>822175213.48000002</v>
      </c>
      <c r="M959" s="75"/>
      <c r="N959" s="94">
        <f>N36+N50+N70+N82+N137+N163+N177+N189+N347+N357+N394+N404+N416+N428+N440+N479+N489+N493+N497+N692+N779+N910+N931+N937+N956</f>
        <v>1116023629.5799999</v>
      </c>
      <c r="O959" s="75"/>
      <c r="P959" s="94">
        <f>P36+P50+P70+P82+P137+P163+P177+P189+P347+P357+P394+P404+P416+P428+P440+P479+P489+P493+P497+P692+P779+P910+P931+P937+P956</f>
        <v>1258268571.27</v>
      </c>
      <c r="Q959" s="75"/>
      <c r="R959" s="94">
        <f>R36+R50+R70+R82+R137+R163+R177+R189+R347+R357+R394+R404+R416+R428+R440+R479+R489+R493+R497+R692+R779+R910+R931+R937+R956</f>
        <v>122860000</v>
      </c>
      <c r="S959" s="86">
        <f t="shared" si="36"/>
        <v>0</v>
      </c>
    </row>
    <row r="960" spans="1:19" x14ac:dyDescent="0.15">
      <c r="N960" s="86" t="s">
        <v>22</v>
      </c>
    </row>
    <row r="961" spans="2:19" x14ac:dyDescent="0.15">
      <c r="D961" s="53" t="s">
        <v>507</v>
      </c>
      <c r="F961" s="94">
        <f>SUM(H961:L961)</f>
        <v>-68859000</v>
      </c>
      <c r="G961" s="69"/>
      <c r="H961" s="95">
        <v>-18558000</v>
      </c>
      <c r="I961" s="90"/>
      <c r="J961" s="95">
        <v>-24227000</v>
      </c>
      <c r="K961" s="90"/>
      <c r="L961" s="95">
        <v>-26074000</v>
      </c>
      <c r="M961" s="90"/>
      <c r="N961" s="95">
        <v>-10961000</v>
      </c>
      <c r="O961" s="90"/>
      <c r="P961" s="95">
        <v>-57898000</v>
      </c>
      <c r="Q961" s="90"/>
      <c r="R961" s="95">
        <v>0</v>
      </c>
      <c r="S961" s="86">
        <f t="shared" ref="S961:S966" si="38">+F961-N961-P961+R961</f>
        <v>0</v>
      </c>
    </row>
    <row r="962" spans="2:19" x14ac:dyDescent="0.15">
      <c r="G962" s="69"/>
      <c r="H962" s="90"/>
      <c r="I962" s="90"/>
      <c r="J962" s="90"/>
      <c r="K962" s="90"/>
      <c r="L962" s="90"/>
      <c r="M962" s="90"/>
      <c r="N962" s="90"/>
      <c r="O962" s="90"/>
      <c r="P962" s="90"/>
      <c r="Q962" s="90"/>
      <c r="R962" s="90"/>
      <c r="S962" s="86">
        <f t="shared" si="38"/>
        <v>0</v>
      </c>
    </row>
    <row r="963" spans="2:19" x14ac:dyDescent="0.15">
      <c r="B963" s="53" t="s">
        <v>509</v>
      </c>
      <c r="F963" s="94">
        <f>SUM(H963:L963)</f>
        <v>32162000</v>
      </c>
      <c r="G963" s="69"/>
      <c r="H963" s="95">
        <v>32162000</v>
      </c>
      <c r="I963" s="90"/>
      <c r="J963" s="95">
        <v>0</v>
      </c>
      <c r="K963" s="90"/>
      <c r="L963" s="95">
        <v>0</v>
      </c>
      <c r="M963" s="90"/>
      <c r="N963" s="95">
        <v>0</v>
      </c>
      <c r="O963" s="90"/>
      <c r="P963" s="95">
        <v>64324000</v>
      </c>
      <c r="Q963" s="90"/>
      <c r="R963" s="95">
        <v>32162000</v>
      </c>
      <c r="S963" s="86">
        <f t="shared" si="38"/>
        <v>0</v>
      </c>
    </row>
    <row r="964" spans="2:19" x14ac:dyDescent="0.15"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86">
        <f t="shared" si="38"/>
        <v>0</v>
      </c>
    </row>
    <row r="965" spans="2:19" ht="14" thickBot="1" x14ac:dyDescent="0.2">
      <c r="E965" s="52" t="s">
        <v>508</v>
      </c>
      <c r="F965" s="106">
        <f>SUM(H965:L965)</f>
        <v>2214735200.8499999</v>
      </c>
      <c r="G965" s="69"/>
      <c r="H965" s="107">
        <f>+H959+H961+H963</f>
        <v>537923863.28999996</v>
      </c>
      <c r="I965" s="90"/>
      <c r="J965" s="107">
        <f>+J959+J961+J963</f>
        <v>880710124.07999992</v>
      </c>
      <c r="K965" s="90"/>
      <c r="L965" s="107">
        <f>+L959+L961+L963</f>
        <v>796101213.48000002</v>
      </c>
      <c r="M965" s="90"/>
      <c r="N965" s="107">
        <f>+N959+N961+N963</f>
        <v>1105062629.5799999</v>
      </c>
      <c r="O965" s="90"/>
      <c r="P965" s="107">
        <f>+P959+P961+P963</f>
        <v>1264694571.27</v>
      </c>
      <c r="Q965" s="90"/>
      <c r="R965" s="107">
        <f>+R959+R961+R963</f>
        <v>155022000</v>
      </c>
      <c r="S965" s="86">
        <f t="shared" si="38"/>
        <v>0</v>
      </c>
    </row>
    <row r="966" spans="2:19" ht="14" thickTop="1" x14ac:dyDescent="0.15">
      <c r="S966" s="86">
        <f t="shared" si="38"/>
        <v>0</v>
      </c>
    </row>
    <row r="968" spans="2:19" x14ac:dyDescent="0.15">
      <c r="H968" s="75"/>
      <c r="J968" s="75"/>
      <c r="L968" s="75"/>
      <c r="N968" s="75"/>
      <c r="P968" s="75"/>
      <c r="R968" s="75"/>
    </row>
  </sheetData>
  <printOptions horizontalCentered="1"/>
  <pageMargins left="0.25" right="0.23" top="1.1000000000000001" bottom="0.75" header="0.5" footer="0.25"/>
  <pageSetup scale="80" orientation="portrait" r:id="rId1"/>
  <headerFooter>
    <oddHeader>&amp;L
  &amp;"Times New Roman,Regular"(Dollars in Thousands)&amp;C&amp;"Times New Roman,Regular"
Berkeley
CURRENT FUNDS EXPENDITURES BY DEPARTMENT&amp;R
&amp;"Times New Roman,Regular"2013-14 Schedule 1-C</oddHeader>
  </headerFooter>
  <rowBreaks count="5" manualBreakCount="5">
    <brk id="725" max="16383" man="1"/>
    <brk id="780" max="16383" man="1"/>
    <brk id="840" max="16383" man="1"/>
    <brk id="894" max="16383" man="1"/>
    <brk id="95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D9CA6-C2D3-4C46-92DF-E12901D58389}">
  <sheetPr>
    <pageSetUpPr fitToPage="1"/>
  </sheetPr>
  <dimension ref="A1:W2077"/>
  <sheetViews>
    <sheetView topLeftCell="A836" zoomScale="145" zoomScaleNormal="145" zoomScaleSheetLayoutView="70" workbookViewId="0">
      <selection activeCell="E857" sqref="E857"/>
    </sheetView>
  </sheetViews>
  <sheetFormatPr baseColWidth="10" defaultColWidth="11.6640625" defaultRowHeight="13" x14ac:dyDescent="0.15"/>
  <cols>
    <col min="1" max="4" width="1.6640625" style="53" customWidth="1"/>
    <col min="5" max="5" width="36.33203125" style="52" bestFit="1" customWidth="1"/>
    <col min="6" max="6" width="11.5" style="75" bestFit="1" customWidth="1"/>
    <col min="7" max="7" width="1.1640625" style="86" customWidth="1"/>
    <col min="8" max="8" width="10.1640625" style="86" bestFit="1" customWidth="1"/>
    <col min="9" max="9" width="1.1640625" style="86" customWidth="1"/>
    <col min="10" max="10" width="11.5" style="86" customWidth="1"/>
    <col min="11" max="11" width="1.1640625" style="86" customWidth="1"/>
    <col min="12" max="12" width="11" style="86" bestFit="1" customWidth="1"/>
    <col min="13" max="13" width="1.1640625" style="86" customWidth="1"/>
    <col min="14" max="14" width="10.6640625" style="86" customWidth="1"/>
    <col min="15" max="15" width="1.1640625" style="86" customWidth="1"/>
    <col min="16" max="16" width="11.33203125" style="86" customWidth="1"/>
    <col min="17" max="17" width="1.1640625" style="86" customWidth="1"/>
    <col min="18" max="18" width="9.6640625" style="86" customWidth="1"/>
    <col min="19" max="19" width="6.83203125" style="86" customWidth="1"/>
    <col min="20" max="16384" width="11.6640625" style="86"/>
  </cols>
  <sheetData>
    <row r="1" spans="1:18" s="69" customFormat="1" ht="21.75" customHeight="1" x14ac:dyDescent="0.15">
      <c r="A1" s="64"/>
      <c r="B1" s="64"/>
      <c r="C1" s="64"/>
      <c r="D1" s="64"/>
      <c r="E1" s="63"/>
      <c r="F1" s="65"/>
      <c r="G1" s="66"/>
      <c r="H1" s="67" t="s">
        <v>0</v>
      </c>
      <c r="I1" s="67"/>
      <c r="J1" s="68"/>
      <c r="K1" s="67"/>
      <c r="L1" s="67"/>
      <c r="M1" s="66"/>
      <c r="N1" s="67" t="s">
        <v>1</v>
      </c>
      <c r="O1" s="67"/>
      <c r="P1" s="68"/>
      <c r="Q1" s="67"/>
      <c r="R1" s="67"/>
    </row>
    <row r="2" spans="1:18" s="71" customFormat="1" ht="32" customHeight="1" x14ac:dyDescent="0.15">
      <c r="A2" s="60"/>
      <c r="B2" s="60"/>
      <c r="C2" s="60"/>
      <c r="D2" s="60"/>
      <c r="E2" s="59"/>
      <c r="F2" s="70" t="s">
        <v>3</v>
      </c>
      <c r="H2" s="72" t="s">
        <v>4</v>
      </c>
      <c r="I2" s="72"/>
      <c r="J2" s="72"/>
      <c r="K2" s="73"/>
      <c r="L2" s="74" t="s">
        <v>5</v>
      </c>
      <c r="M2" s="73"/>
      <c r="N2" s="74" t="s">
        <v>6</v>
      </c>
      <c r="O2" s="73"/>
      <c r="P2" s="74" t="s">
        <v>7</v>
      </c>
      <c r="Q2" s="73"/>
      <c r="R2" s="74" t="s">
        <v>8</v>
      </c>
    </row>
    <row r="3" spans="1:18" s="69" customFormat="1" ht="21.5" customHeight="1" x14ac:dyDescent="0.15">
      <c r="A3" s="53"/>
      <c r="B3" s="53"/>
      <c r="C3" s="53"/>
      <c r="D3" s="53"/>
      <c r="E3" s="52"/>
      <c r="F3" s="75"/>
      <c r="H3" s="76" t="s">
        <v>9</v>
      </c>
      <c r="I3" s="77"/>
      <c r="J3" s="76" t="s">
        <v>10</v>
      </c>
      <c r="K3" s="77"/>
      <c r="M3" s="77"/>
      <c r="N3" s="78"/>
      <c r="O3" s="78"/>
      <c r="P3" s="78"/>
      <c r="Q3" s="78"/>
      <c r="R3" s="78"/>
    </row>
    <row r="4" spans="1:18" ht="16" x14ac:dyDescent="0.3">
      <c r="A4" s="79" t="s">
        <v>11</v>
      </c>
      <c r="B4" s="80"/>
      <c r="C4" s="80"/>
      <c r="D4" s="80"/>
      <c r="E4" s="81"/>
      <c r="F4" s="82"/>
      <c r="G4" s="83"/>
      <c r="H4" s="84"/>
      <c r="I4" s="85"/>
      <c r="J4" s="84"/>
      <c r="K4" s="85"/>
      <c r="L4" s="84"/>
      <c r="M4" s="85"/>
      <c r="N4" s="85"/>
      <c r="O4" s="85"/>
      <c r="P4" s="85"/>
      <c r="Q4" s="85"/>
    </row>
    <row r="5" spans="1:18" ht="16" x14ac:dyDescent="0.3">
      <c r="A5" s="79"/>
      <c r="B5" s="79" t="s">
        <v>12</v>
      </c>
      <c r="C5" s="80"/>
      <c r="D5" s="80"/>
      <c r="E5" s="81"/>
      <c r="F5" s="82"/>
      <c r="G5" s="83"/>
      <c r="H5" s="84"/>
      <c r="I5" s="85"/>
      <c r="J5" s="84"/>
      <c r="K5" s="85"/>
      <c r="L5" s="84"/>
      <c r="M5" s="85"/>
      <c r="N5" s="85"/>
      <c r="O5" s="85"/>
      <c r="P5" s="85"/>
      <c r="Q5" s="85"/>
    </row>
    <row r="6" spans="1:18" ht="12.75" customHeight="1" x14ac:dyDescent="0.15">
      <c r="A6" s="52"/>
      <c r="B6" s="87"/>
      <c r="C6" s="87"/>
      <c r="D6" s="87"/>
      <c r="E6" s="88"/>
      <c r="G6" s="83"/>
      <c r="H6" s="83"/>
      <c r="I6" s="89"/>
      <c r="J6" s="83"/>
      <c r="K6" s="89"/>
      <c r="L6" s="83"/>
      <c r="M6" s="89"/>
      <c r="N6" s="89"/>
      <c r="O6" s="89"/>
      <c r="P6" s="89"/>
      <c r="Q6" s="89"/>
    </row>
    <row r="7" spans="1:18" ht="16.5" customHeight="1" x14ac:dyDescent="0.15">
      <c r="A7" s="87"/>
      <c r="B7" s="52" t="s">
        <v>13</v>
      </c>
      <c r="C7" s="88"/>
      <c r="D7" s="88"/>
      <c r="G7" s="83"/>
      <c r="H7" s="83"/>
      <c r="I7" s="89"/>
      <c r="J7" s="83"/>
      <c r="K7" s="89"/>
      <c r="L7" s="90"/>
      <c r="M7" s="89"/>
      <c r="N7" s="89"/>
      <c r="O7" s="89"/>
      <c r="P7" s="89"/>
      <c r="Q7" s="89"/>
    </row>
    <row r="8" spans="1:18" x14ac:dyDescent="0.15">
      <c r="A8" s="88"/>
      <c r="B8" s="88"/>
      <c r="C8" s="52" t="s">
        <v>14</v>
      </c>
      <c r="D8" s="52"/>
      <c r="E8" s="91"/>
      <c r="F8" s="46">
        <f>SUM(H8:L8)</f>
        <v>110000</v>
      </c>
      <c r="G8" s="92"/>
      <c r="H8" s="46">
        <v>4000</v>
      </c>
      <c r="I8" s="93"/>
      <c r="J8" s="46">
        <v>1000</v>
      </c>
      <c r="K8" s="93"/>
      <c r="L8" s="46">
        <v>105000</v>
      </c>
      <c r="M8" s="93"/>
      <c r="N8" s="46">
        <v>78000</v>
      </c>
      <c r="O8" s="93"/>
      <c r="P8" s="46">
        <v>32000</v>
      </c>
      <c r="Q8" s="93"/>
      <c r="R8" s="46">
        <v>0</v>
      </c>
    </row>
    <row r="9" spans="1:18" x14ac:dyDescent="0.15">
      <c r="A9" s="88"/>
      <c r="B9" s="88"/>
      <c r="C9" s="52" t="s">
        <v>16</v>
      </c>
      <c r="D9" s="52"/>
      <c r="E9" s="91"/>
      <c r="F9" s="75">
        <f t="shared" ref="F9:F13" si="0">SUM(H9:L9)</f>
        <v>122000</v>
      </c>
      <c r="G9" s="92"/>
      <c r="H9" s="90">
        <v>30000</v>
      </c>
      <c r="I9" s="93"/>
      <c r="J9" s="90">
        <v>30000</v>
      </c>
      <c r="K9" s="93"/>
      <c r="L9" s="90">
        <v>62000</v>
      </c>
      <c r="M9" s="93"/>
      <c r="N9" s="90">
        <v>31000</v>
      </c>
      <c r="O9" s="93"/>
      <c r="P9" s="90">
        <v>91000</v>
      </c>
      <c r="Q9" s="93"/>
      <c r="R9" s="90">
        <v>0</v>
      </c>
    </row>
    <row r="10" spans="1:18" x14ac:dyDescent="0.15">
      <c r="A10" s="88"/>
      <c r="B10" s="88"/>
      <c r="C10" s="52" t="s">
        <v>17</v>
      </c>
      <c r="D10" s="52"/>
      <c r="E10" s="91"/>
      <c r="F10" s="75">
        <f t="shared" si="0"/>
        <v>76000</v>
      </c>
      <c r="G10" s="92"/>
      <c r="H10" s="90">
        <v>39000</v>
      </c>
      <c r="I10" s="93"/>
      <c r="J10" s="90">
        <v>4000</v>
      </c>
      <c r="K10" s="93"/>
      <c r="L10" s="90">
        <v>33000</v>
      </c>
      <c r="M10" s="93"/>
      <c r="N10" s="90">
        <v>24000</v>
      </c>
      <c r="O10" s="93"/>
      <c r="P10" s="90">
        <v>52000</v>
      </c>
      <c r="Q10" s="93"/>
      <c r="R10" s="90">
        <v>0</v>
      </c>
    </row>
    <row r="11" spans="1:18" x14ac:dyDescent="0.15">
      <c r="A11" s="87"/>
      <c r="B11" s="87"/>
      <c r="C11" s="52" t="s">
        <v>18</v>
      </c>
      <c r="D11" s="52"/>
      <c r="E11" s="91"/>
      <c r="F11" s="75">
        <f>SUM(H11:L11)</f>
        <v>22000</v>
      </c>
      <c r="G11" s="92"/>
      <c r="H11" s="90">
        <v>8000</v>
      </c>
      <c r="I11" s="93"/>
      <c r="J11" s="90">
        <v>5000</v>
      </c>
      <c r="K11" s="93"/>
      <c r="L11" s="90">
        <v>9000</v>
      </c>
      <c r="M11" s="93"/>
      <c r="N11" s="90">
        <v>11000</v>
      </c>
      <c r="O11" s="93"/>
      <c r="P11" s="90">
        <v>11000</v>
      </c>
      <c r="Q11" s="93"/>
      <c r="R11" s="90">
        <v>0</v>
      </c>
    </row>
    <row r="12" spans="1:18" x14ac:dyDescent="0.15">
      <c r="A12" s="87"/>
      <c r="B12" s="87"/>
      <c r="C12" s="52" t="s">
        <v>19</v>
      </c>
      <c r="D12" s="52"/>
      <c r="E12" s="91"/>
      <c r="F12" s="75">
        <f t="shared" si="0"/>
        <v>2000</v>
      </c>
      <c r="G12" s="92"/>
      <c r="H12" s="90">
        <v>1000</v>
      </c>
      <c r="I12" s="93"/>
      <c r="J12" s="90">
        <v>1000</v>
      </c>
      <c r="K12" s="93"/>
      <c r="L12" s="90">
        <v>0</v>
      </c>
      <c r="M12" s="93"/>
      <c r="N12" s="90">
        <v>0</v>
      </c>
      <c r="O12" s="93"/>
      <c r="P12" s="90">
        <v>2000</v>
      </c>
      <c r="Q12" s="93"/>
      <c r="R12" s="90">
        <v>0</v>
      </c>
    </row>
    <row r="13" spans="1:18" x14ac:dyDescent="0.15">
      <c r="A13" s="87"/>
      <c r="B13" s="87"/>
      <c r="C13" s="52" t="s">
        <v>20</v>
      </c>
      <c r="D13" s="52"/>
      <c r="E13" s="91"/>
      <c r="F13" s="75">
        <f t="shared" si="0"/>
        <v>22000</v>
      </c>
      <c r="G13" s="92"/>
      <c r="H13" s="90">
        <v>2000</v>
      </c>
      <c r="I13" s="93"/>
      <c r="J13" s="90">
        <v>2000</v>
      </c>
      <c r="K13" s="93"/>
      <c r="L13" s="90">
        <v>18000</v>
      </c>
      <c r="M13" s="93"/>
      <c r="N13" s="90">
        <v>4000</v>
      </c>
      <c r="O13" s="93"/>
      <c r="P13" s="90">
        <v>18000</v>
      </c>
      <c r="Q13" s="93"/>
      <c r="R13" s="90">
        <v>0</v>
      </c>
    </row>
    <row r="14" spans="1:18" x14ac:dyDescent="0.15">
      <c r="A14" s="88"/>
      <c r="B14" s="88"/>
      <c r="C14" s="52" t="s">
        <v>21</v>
      </c>
      <c r="D14" s="52"/>
      <c r="E14" s="78"/>
      <c r="G14" s="69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</row>
    <row r="15" spans="1:18" x14ac:dyDescent="0.15">
      <c r="A15" s="88"/>
      <c r="B15" s="88"/>
      <c r="C15" s="52" t="s">
        <v>22</v>
      </c>
      <c r="D15" s="52"/>
      <c r="E15" s="91" t="s">
        <v>23</v>
      </c>
      <c r="F15" s="94">
        <f>SUM(H15:L15)</f>
        <v>46000</v>
      </c>
      <c r="G15" s="69"/>
      <c r="H15" s="95">
        <v>38000</v>
      </c>
      <c r="I15" s="90"/>
      <c r="J15" s="95">
        <v>5000</v>
      </c>
      <c r="K15" s="90"/>
      <c r="L15" s="95">
        <v>3000</v>
      </c>
      <c r="M15" s="90"/>
      <c r="N15" s="95">
        <v>8000</v>
      </c>
      <c r="O15" s="90"/>
      <c r="P15" s="95">
        <v>38000</v>
      </c>
      <c r="Q15" s="90"/>
      <c r="R15" s="95">
        <v>0</v>
      </c>
    </row>
    <row r="16" spans="1:18" x14ac:dyDescent="0.15">
      <c r="A16" s="88"/>
      <c r="B16" s="88"/>
      <c r="C16" s="52"/>
      <c r="D16" s="52"/>
      <c r="G16" s="69"/>
      <c r="H16" s="96"/>
      <c r="I16" s="96"/>
      <c r="J16" s="69"/>
      <c r="K16" s="96"/>
      <c r="L16" s="96"/>
      <c r="M16" s="96"/>
      <c r="N16" s="96"/>
      <c r="O16" s="96"/>
      <c r="P16" s="96"/>
      <c r="Q16" s="96"/>
      <c r="R16" s="69"/>
    </row>
    <row r="17" spans="1:18" x14ac:dyDescent="0.15">
      <c r="A17" s="88"/>
      <c r="B17" s="88"/>
      <c r="C17" s="52"/>
      <c r="D17" s="52"/>
      <c r="E17" s="52" t="s">
        <v>3</v>
      </c>
      <c r="F17" s="94">
        <f>SUM(H17:L17)</f>
        <v>400000</v>
      </c>
      <c r="G17" s="69"/>
      <c r="H17" s="94">
        <f>SUM(H8:H15)</f>
        <v>122000</v>
      </c>
      <c r="I17" s="75"/>
      <c r="J17" s="94">
        <f>SUM(J8:J15)</f>
        <v>48000</v>
      </c>
      <c r="K17" s="75"/>
      <c r="L17" s="94">
        <f>SUM(L8:L15)</f>
        <v>230000</v>
      </c>
      <c r="M17" s="75"/>
      <c r="N17" s="94">
        <f>SUM(N8:N15)</f>
        <v>156000</v>
      </c>
      <c r="O17" s="75"/>
      <c r="P17" s="94">
        <f>SUM(P8:P15)</f>
        <v>244000</v>
      </c>
      <c r="Q17" s="75"/>
      <c r="R17" s="94">
        <f>SUM(R8:R15)</f>
        <v>0</v>
      </c>
    </row>
    <row r="18" spans="1:18" x14ac:dyDescent="0.15"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</row>
    <row r="19" spans="1:18" ht="16.5" customHeight="1" x14ac:dyDescent="0.15">
      <c r="B19" s="53" t="s">
        <v>24</v>
      </c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</row>
    <row r="20" spans="1:18" x14ac:dyDescent="0.15">
      <c r="C20" s="52" t="s">
        <v>14</v>
      </c>
      <c r="D20" s="52"/>
      <c r="E20" s="91"/>
      <c r="F20" s="75">
        <f t="shared" ref="F20:F27" si="1">SUM(H20:L20)</f>
        <v>4017000</v>
      </c>
      <c r="G20" s="92"/>
      <c r="H20" s="90">
        <v>3293000</v>
      </c>
      <c r="I20" s="93"/>
      <c r="J20" s="90">
        <v>74000</v>
      </c>
      <c r="K20" s="93"/>
      <c r="L20" s="90">
        <v>650000</v>
      </c>
      <c r="M20" s="93"/>
      <c r="N20" s="90">
        <v>2778000</v>
      </c>
      <c r="O20" s="93"/>
      <c r="P20" s="90">
        <v>1239000</v>
      </c>
      <c r="Q20" s="93"/>
      <c r="R20" s="90">
        <v>0</v>
      </c>
    </row>
    <row r="21" spans="1:18" x14ac:dyDescent="0.15">
      <c r="C21" s="52" t="s">
        <v>15</v>
      </c>
      <c r="D21" s="52"/>
      <c r="E21" s="91"/>
      <c r="F21" s="75">
        <f t="shared" si="1"/>
        <v>5245000</v>
      </c>
      <c r="G21" s="92"/>
      <c r="H21" s="90">
        <v>954000</v>
      </c>
      <c r="I21" s="93"/>
      <c r="J21" s="90">
        <v>312000</v>
      </c>
      <c r="K21" s="93"/>
      <c r="L21" s="90">
        <v>3979000</v>
      </c>
      <c r="M21" s="93"/>
      <c r="N21" s="90">
        <v>2865000</v>
      </c>
      <c r="O21" s="93"/>
      <c r="P21" s="90">
        <v>2687000</v>
      </c>
      <c r="Q21" s="93"/>
      <c r="R21" s="90">
        <v>307000</v>
      </c>
    </row>
    <row r="22" spans="1:18" x14ac:dyDescent="0.15">
      <c r="C22" s="52" t="s">
        <v>16</v>
      </c>
      <c r="D22" s="52"/>
      <c r="E22" s="91"/>
      <c r="F22" s="75">
        <f t="shared" si="1"/>
        <v>9215000</v>
      </c>
      <c r="G22" s="92"/>
      <c r="H22" s="90">
        <v>2675000</v>
      </c>
      <c r="I22" s="93"/>
      <c r="J22" s="90">
        <v>227000</v>
      </c>
      <c r="K22" s="93"/>
      <c r="L22" s="90">
        <v>6313000</v>
      </c>
      <c r="M22" s="93"/>
      <c r="N22" s="90">
        <v>4765000</v>
      </c>
      <c r="O22" s="93"/>
      <c r="P22" s="90">
        <v>4476000</v>
      </c>
      <c r="Q22" s="93"/>
      <c r="R22" s="90">
        <v>26000</v>
      </c>
    </row>
    <row r="23" spans="1:18" x14ac:dyDescent="0.15">
      <c r="C23" s="52" t="s">
        <v>25</v>
      </c>
      <c r="D23" s="52"/>
      <c r="E23" s="91"/>
      <c r="F23" s="75">
        <f t="shared" si="1"/>
        <v>1209000</v>
      </c>
      <c r="G23" s="92"/>
      <c r="H23" s="90">
        <v>184000</v>
      </c>
      <c r="I23" s="93"/>
      <c r="J23" s="90">
        <v>492000</v>
      </c>
      <c r="K23" s="93"/>
      <c r="L23" s="90">
        <v>533000</v>
      </c>
      <c r="M23" s="93"/>
      <c r="N23" s="90">
        <v>668000</v>
      </c>
      <c r="O23" s="93"/>
      <c r="P23" s="90">
        <v>541000</v>
      </c>
      <c r="Q23" s="93"/>
      <c r="R23" s="90">
        <v>0</v>
      </c>
    </row>
    <row r="24" spans="1:18" x14ac:dyDescent="0.15">
      <c r="C24" s="52" t="s">
        <v>17</v>
      </c>
      <c r="D24" s="52"/>
      <c r="E24" s="91"/>
      <c r="F24" s="75">
        <f t="shared" si="1"/>
        <v>5052000</v>
      </c>
      <c r="G24" s="92"/>
      <c r="H24" s="90">
        <v>2661000</v>
      </c>
      <c r="I24" s="93"/>
      <c r="J24" s="90">
        <v>101000</v>
      </c>
      <c r="K24" s="93"/>
      <c r="L24" s="90">
        <v>2290000</v>
      </c>
      <c r="M24" s="93"/>
      <c r="N24" s="90">
        <v>3279000</v>
      </c>
      <c r="O24" s="93"/>
      <c r="P24" s="90">
        <v>1773000</v>
      </c>
      <c r="Q24" s="93"/>
      <c r="R24" s="90">
        <v>0</v>
      </c>
    </row>
    <row r="25" spans="1:18" x14ac:dyDescent="0.15">
      <c r="C25" s="52" t="s">
        <v>18</v>
      </c>
      <c r="D25" s="52"/>
      <c r="E25" s="91"/>
      <c r="F25" s="75">
        <f t="shared" si="1"/>
        <v>4392000</v>
      </c>
      <c r="G25" s="92"/>
      <c r="H25" s="90">
        <v>1236000</v>
      </c>
      <c r="I25" s="93"/>
      <c r="J25" s="90">
        <v>24000</v>
      </c>
      <c r="K25" s="93"/>
      <c r="L25" s="90">
        <v>3132000</v>
      </c>
      <c r="M25" s="93"/>
      <c r="N25" s="90">
        <v>2318000</v>
      </c>
      <c r="O25" s="93"/>
      <c r="P25" s="90">
        <v>2074000</v>
      </c>
      <c r="Q25" s="93"/>
      <c r="R25" s="90">
        <v>0</v>
      </c>
    </row>
    <row r="26" spans="1:18" x14ac:dyDescent="0.15">
      <c r="C26" s="52" t="s">
        <v>19</v>
      </c>
      <c r="D26" s="52"/>
      <c r="E26" s="91"/>
      <c r="F26" s="75">
        <f t="shared" si="1"/>
        <v>5425000</v>
      </c>
      <c r="G26" s="92"/>
      <c r="H26" s="90">
        <v>1422000</v>
      </c>
      <c r="I26" s="93"/>
      <c r="J26" s="90">
        <v>73000</v>
      </c>
      <c r="K26" s="93"/>
      <c r="L26" s="90">
        <v>3930000</v>
      </c>
      <c r="M26" s="93"/>
      <c r="N26" s="90">
        <v>2177000</v>
      </c>
      <c r="O26" s="93"/>
      <c r="P26" s="90">
        <v>3248000</v>
      </c>
      <c r="Q26" s="93"/>
      <c r="R26" s="90">
        <v>0</v>
      </c>
    </row>
    <row r="27" spans="1:18" x14ac:dyDescent="0.15">
      <c r="C27" s="52" t="s">
        <v>20</v>
      </c>
      <c r="D27" s="52"/>
      <c r="E27" s="91"/>
      <c r="F27" s="75">
        <f t="shared" si="1"/>
        <v>6919000</v>
      </c>
      <c r="G27" s="92"/>
      <c r="H27" s="90">
        <v>2628000</v>
      </c>
      <c r="I27" s="93"/>
      <c r="J27" s="90">
        <v>41000</v>
      </c>
      <c r="K27" s="93"/>
      <c r="L27" s="90">
        <v>4250000</v>
      </c>
      <c r="M27" s="93"/>
      <c r="N27" s="90">
        <v>4217000</v>
      </c>
      <c r="O27" s="93"/>
      <c r="P27" s="90">
        <v>2702000</v>
      </c>
      <c r="Q27" s="93"/>
      <c r="R27" s="90">
        <v>0</v>
      </c>
    </row>
    <row r="28" spans="1:18" x14ac:dyDescent="0.15">
      <c r="C28" s="52" t="s">
        <v>21</v>
      </c>
      <c r="D28" s="52"/>
      <c r="E28" s="78"/>
      <c r="R28" s="90">
        <v>0</v>
      </c>
    </row>
    <row r="29" spans="1:18" x14ac:dyDescent="0.15">
      <c r="C29" s="52" t="s">
        <v>22</v>
      </c>
      <c r="D29" s="52"/>
      <c r="E29" s="91" t="s">
        <v>23</v>
      </c>
      <c r="F29" s="94">
        <f>SUM(H29:L29)</f>
        <v>1911000</v>
      </c>
      <c r="G29" s="99"/>
      <c r="H29" s="105">
        <v>1058000</v>
      </c>
      <c r="I29" s="105"/>
      <c r="J29" s="105">
        <v>55000</v>
      </c>
      <c r="K29" s="105"/>
      <c r="L29" s="105">
        <v>798000</v>
      </c>
      <c r="M29" s="105"/>
      <c r="N29" s="105">
        <v>1250000</v>
      </c>
      <c r="O29" s="105"/>
      <c r="P29" s="105">
        <v>661000</v>
      </c>
      <c r="Q29" s="95"/>
      <c r="R29" s="95"/>
    </row>
    <row r="30" spans="1:18" x14ac:dyDescent="0.15">
      <c r="C30" s="52"/>
      <c r="D30" s="52"/>
    </row>
    <row r="31" spans="1:18" x14ac:dyDescent="0.15">
      <c r="C31" s="52"/>
      <c r="D31" s="52"/>
      <c r="E31" s="52" t="s">
        <v>3</v>
      </c>
      <c r="F31" s="94">
        <f>SUM(F20:F29)</f>
        <v>43385000</v>
      </c>
      <c r="H31" s="94">
        <f>SUM(H20:H29)</f>
        <v>16111000</v>
      </c>
      <c r="J31" s="94">
        <f>SUM(J20:J29)</f>
        <v>1399000</v>
      </c>
      <c r="L31" s="94">
        <f>SUM(L20:L29)</f>
        <v>25875000</v>
      </c>
      <c r="N31" s="94">
        <f>SUM(N20:N29)</f>
        <v>24317000</v>
      </c>
      <c r="P31" s="94">
        <f>SUM(P20:P29)</f>
        <v>19401000</v>
      </c>
      <c r="R31" s="94">
        <f>SUM(R20:R29)</f>
        <v>333000</v>
      </c>
    </row>
    <row r="32" spans="1:18" x14ac:dyDescent="0.15"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</row>
    <row r="33" spans="1:18" x14ac:dyDescent="0.15">
      <c r="A33" s="88"/>
      <c r="B33" s="88" t="s">
        <v>28</v>
      </c>
      <c r="C33" s="52"/>
      <c r="D33" s="52"/>
      <c r="E33" s="53"/>
      <c r="F33" s="94">
        <f t="shared" ref="F33" si="2">SUM(H33:L33)</f>
        <v>63000</v>
      </c>
      <c r="G33" s="69"/>
      <c r="H33" s="94">
        <v>0</v>
      </c>
      <c r="I33" s="75"/>
      <c r="J33" s="94">
        <v>0</v>
      </c>
      <c r="K33" s="75"/>
      <c r="L33" s="94">
        <v>63000</v>
      </c>
      <c r="M33" s="75" t="e">
        <f>SUM(#REF!)</f>
        <v>#REF!</v>
      </c>
      <c r="N33" s="94">
        <v>21000</v>
      </c>
      <c r="O33" s="75" t="e">
        <f>SUM(#REF!)</f>
        <v>#REF!</v>
      </c>
      <c r="P33" s="94">
        <v>42000</v>
      </c>
      <c r="Q33" s="75" t="e">
        <f>SUM(#REF!)</f>
        <v>#REF!</v>
      </c>
      <c r="R33" s="94">
        <v>0</v>
      </c>
    </row>
    <row r="34" spans="1:18" x14ac:dyDescent="0.15">
      <c r="A34" s="88"/>
      <c r="C34" s="52"/>
      <c r="D34" s="52"/>
      <c r="G34" s="69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</row>
    <row r="35" spans="1:18" x14ac:dyDescent="0.15">
      <c r="A35" s="88"/>
      <c r="B35" s="53" t="s">
        <v>29</v>
      </c>
      <c r="C35" s="52"/>
      <c r="D35" s="52"/>
      <c r="F35" s="94">
        <f>SUM(I35:L35)</f>
        <v>5000</v>
      </c>
      <c r="G35" s="69"/>
      <c r="H35" s="94">
        <v>0</v>
      </c>
      <c r="I35" s="75">
        <v>0</v>
      </c>
      <c r="J35" s="94">
        <v>0</v>
      </c>
      <c r="K35" s="75">
        <v>0</v>
      </c>
      <c r="L35" s="94">
        <v>5000</v>
      </c>
      <c r="M35" s="75">
        <v>0</v>
      </c>
      <c r="N35" s="94">
        <v>0</v>
      </c>
      <c r="O35" s="75">
        <v>0</v>
      </c>
      <c r="P35" s="94">
        <v>5000</v>
      </c>
      <c r="Q35" s="75">
        <v>0</v>
      </c>
      <c r="R35" s="94">
        <v>0</v>
      </c>
    </row>
    <row r="36" spans="1:18" x14ac:dyDescent="0.15"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</row>
    <row r="37" spans="1:18" x14ac:dyDescent="0.15">
      <c r="A37" s="87"/>
      <c r="B37" s="87"/>
      <c r="C37" s="88"/>
      <c r="D37" s="88"/>
      <c r="E37" s="52" t="s">
        <v>30</v>
      </c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</row>
    <row r="38" spans="1:18" x14ac:dyDescent="0.15">
      <c r="A38" s="88"/>
      <c r="B38" s="87"/>
      <c r="C38" s="88"/>
      <c r="D38" s="88"/>
      <c r="E38" s="53" t="s">
        <v>31</v>
      </c>
      <c r="F38" s="94">
        <f>F17+F31+F33+F35</f>
        <v>43853000</v>
      </c>
      <c r="G38" s="69"/>
      <c r="H38" s="94">
        <f>H17+H31+H33+H35</f>
        <v>16233000</v>
      </c>
      <c r="I38" s="94" t="e">
        <f>I17+I31+#REF!+I33+I35</f>
        <v>#REF!</v>
      </c>
      <c r="J38" s="94">
        <f>J17+J31+J33+J35</f>
        <v>1447000</v>
      </c>
      <c r="K38" s="94" t="e">
        <f>K17+K31+#REF!+K33+K35</f>
        <v>#REF!</v>
      </c>
      <c r="L38" s="94">
        <f>L17+L31+L33+L35</f>
        <v>26173000</v>
      </c>
      <c r="M38" s="94" t="e">
        <f>M17+M31+#REF!+M33+M35</f>
        <v>#REF!</v>
      </c>
      <c r="N38" s="94">
        <f>N17+N31+N33+N35</f>
        <v>24494000</v>
      </c>
      <c r="O38" s="94" t="e">
        <f>O17+O31+#REF!+O33+O35</f>
        <v>#REF!</v>
      </c>
      <c r="P38" s="94">
        <f>P17+P31+P33+P35</f>
        <v>19692000</v>
      </c>
      <c r="Q38" s="94" t="e">
        <f>Q17+Q31+#REF!+Q33+Q35</f>
        <v>#REF!</v>
      </c>
      <c r="R38" s="94">
        <f>R17+R31+R33+R35</f>
        <v>333000</v>
      </c>
    </row>
    <row r="39" spans="1:18" x14ac:dyDescent="0.15">
      <c r="A39" s="88"/>
      <c r="B39" s="88"/>
      <c r="C39" s="52"/>
      <c r="D39" s="52"/>
      <c r="E39" s="53"/>
      <c r="G39" s="69"/>
      <c r="H39" s="69"/>
      <c r="I39" s="96"/>
      <c r="J39" s="96"/>
      <c r="K39" s="96"/>
      <c r="L39" s="96"/>
      <c r="M39" s="96"/>
      <c r="N39" s="96"/>
      <c r="O39" s="96"/>
      <c r="P39" s="96"/>
      <c r="Q39" s="96"/>
      <c r="R39" s="69"/>
    </row>
    <row r="40" spans="1:18" x14ac:dyDescent="0.15">
      <c r="A40" s="97" t="s">
        <v>32</v>
      </c>
      <c r="B40" s="88"/>
      <c r="C40" s="52"/>
      <c r="D40" s="52"/>
      <c r="E40" s="53"/>
      <c r="G40" s="69"/>
      <c r="H40" s="69"/>
      <c r="I40" s="96"/>
      <c r="J40" s="96"/>
      <c r="K40" s="96"/>
      <c r="L40" s="96"/>
      <c r="M40" s="96"/>
      <c r="N40" s="96"/>
      <c r="O40" s="96"/>
      <c r="P40" s="96"/>
      <c r="Q40" s="96"/>
      <c r="R40" s="69"/>
    </row>
    <row r="41" spans="1:18" x14ac:dyDescent="0.15">
      <c r="A41" s="97"/>
      <c r="B41" s="97" t="s">
        <v>33</v>
      </c>
      <c r="C41" s="52"/>
      <c r="D41" s="52"/>
      <c r="E41" s="53"/>
      <c r="G41" s="69"/>
      <c r="H41" s="69"/>
      <c r="I41" s="96"/>
      <c r="J41" s="96"/>
      <c r="K41" s="96"/>
      <c r="L41" s="96"/>
      <c r="M41" s="96"/>
      <c r="N41" s="96"/>
      <c r="O41" s="96"/>
      <c r="P41" s="96"/>
      <c r="Q41" s="96"/>
      <c r="R41" s="69"/>
    </row>
    <row r="42" spans="1:18" x14ac:dyDescent="0.15">
      <c r="A42" s="88"/>
      <c r="B42" s="88"/>
      <c r="C42" s="52"/>
      <c r="D42" s="52"/>
      <c r="E42" s="53"/>
      <c r="G42" s="69"/>
      <c r="H42" s="69"/>
      <c r="I42" s="69"/>
      <c r="J42" s="96"/>
      <c r="K42" s="69"/>
      <c r="L42" s="96"/>
      <c r="M42" s="69"/>
      <c r="N42" s="69"/>
      <c r="O42" s="69"/>
      <c r="P42" s="69"/>
      <c r="Q42" s="69"/>
      <c r="R42" s="69"/>
    </row>
    <row r="43" spans="1:18" x14ac:dyDescent="0.15">
      <c r="A43" s="88"/>
      <c r="B43" s="53" t="s">
        <v>13</v>
      </c>
      <c r="C43" s="52"/>
      <c r="D43" s="52"/>
      <c r="E43" s="53"/>
      <c r="F43" s="94">
        <f>SUM(H43:L43)</f>
        <v>69354000</v>
      </c>
      <c r="G43" s="69"/>
      <c r="H43" s="95">
        <v>21170000</v>
      </c>
      <c r="I43" s="90"/>
      <c r="J43" s="95">
        <v>36924000</v>
      </c>
      <c r="K43" s="90"/>
      <c r="L43" s="95">
        <v>11260000</v>
      </c>
      <c r="M43" s="90"/>
      <c r="N43" s="95">
        <v>41878000</v>
      </c>
      <c r="O43" s="90"/>
      <c r="P43" s="95">
        <v>27493000</v>
      </c>
      <c r="Q43" s="90"/>
      <c r="R43" s="95">
        <v>17000</v>
      </c>
    </row>
    <row r="44" spans="1:18" x14ac:dyDescent="0.15">
      <c r="A44" s="88"/>
      <c r="C44" s="52"/>
      <c r="D44" s="52"/>
      <c r="E44" s="53"/>
      <c r="G44" s="69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</row>
    <row r="45" spans="1:18" x14ac:dyDescent="0.15">
      <c r="A45" s="88"/>
      <c r="B45" s="88" t="s">
        <v>24</v>
      </c>
      <c r="E45" s="91"/>
      <c r="F45" s="94">
        <f>SUM(H45:L45)</f>
        <v>1504000</v>
      </c>
      <c r="G45" s="69"/>
      <c r="H45" s="95">
        <v>24000</v>
      </c>
      <c r="I45" s="90"/>
      <c r="J45" s="95">
        <v>90000</v>
      </c>
      <c r="K45" s="90"/>
      <c r="L45" s="95">
        <v>1390000</v>
      </c>
      <c r="M45" s="90"/>
      <c r="N45" s="95">
        <v>807000</v>
      </c>
      <c r="O45" s="90"/>
      <c r="P45" s="95">
        <v>697000</v>
      </c>
      <c r="Q45" s="90"/>
      <c r="R45" s="95">
        <v>0</v>
      </c>
    </row>
    <row r="46" spans="1:18" x14ac:dyDescent="0.15">
      <c r="A46" s="88"/>
      <c r="C46" s="52"/>
      <c r="D46" s="52"/>
      <c r="E46" s="53"/>
      <c r="G46" s="69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</row>
    <row r="47" spans="1:18" x14ac:dyDescent="0.15">
      <c r="A47" s="88"/>
      <c r="B47" s="88" t="s">
        <v>28</v>
      </c>
      <c r="C47" s="52"/>
      <c r="D47" s="52"/>
      <c r="E47" s="53"/>
      <c r="F47" s="94">
        <f>SUM(H47:L47)</f>
        <v>699000</v>
      </c>
      <c r="G47" s="69"/>
      <c r="H47" s="95">
        <v>0</v>
      </c>
      <c r="I47" s="90"/>
      <c r="J47" s="95">
        <v>216000</v>
      </c>
      <c r="K47" s="90"/>
      <c r="L47" s="95">
        <v>483000</v>
      </c>
      <c r="M47" s="90"/>
      <c r="N47" s="95">
        <v>385000</v>
      </c>
      <c r="O47" s="90"/>
      <c r="P47" s="95">
        <v>314000</v>
      </c>
      <c r="Q47" s="90"/>
      <c r="R47" s="95">
        <v>0</v>
      </c>
    </row>
    <row r="48" spans="1:18" x14ac:dyDescent="0.15">
      <c r="A48" s="88"/>
      <c r="B48" s="88"/>
      <c r="C48" s="52"/>
      <c r="D48" s="52"/>
      <c r="E48" s="53"/>
      <c r="G48" s="69"/>
      <c r="H48" s="69"/>
      <c r="I48" s="96"/>
      <c r="J48" s="96"/>
      <c r="K48" s="96"/>
      <c r="L48" s="96"/>
      <c r="M48" s="96"/>
      <c r="N48" s="96"/>
      <c r="O48" s="96"/>
      <c r="P48" s="96"/>
      <c r="Q48" s="96"/>
      <c r="R48" s="69"/>
    </row>
    <row r="49" spans="1:18" x14ac:dyDescent="0.15">
      <c r="B49" s="88" t="s">
        <v>29</v>
      </c>
      <c r="F49" s="94">
        <f>SUM(H49:L49)</f>
        <v>20153000</v>
      </c>
      <c r="G49" s="69"/>
      <c r="H49" s="95">
        <v>1435000</v>
      </c>
      <c r="I49" s="90"/>
      <c r="J49" s="95">
        <v>15872000</v>
      </c>
      <c r="K49" s="90"/>
      <c r="L49" s="95">
        <v>2846000</v>
      </c>
      <c r="M49" s="90"/>
      <c r="N49" s="95">
        <v>10429000</v>
      </c>
      <c r="O49" s="90"/>
      <c r="P49" s="95">
        <v>9864000</v>
      </c>
      <c r="Q49" s="90"/>
      <c r="R49" s="95">
        <v>140000</v>
      </c>
    </row>
    <row r="50" spans="1:18" x14ac:dyDescent="0.15"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</row>
    <row r="51" spans="1:18" x14ac:dyDescent="0.15">
      <c r="E51" s="52" t="s">
        <v>34</v>
      </c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</row>
    <row r="52" spans="1:18" x14ac:dyDescent="0.15">
      <c r="E52" s="52" t="s">
        <v>35</v>
      </c>
      <c r="F52" s="94">
        <f>SUM(H52:L52)</f>
        <v>91710000</v>
      </c>
      <c r="G52" s="75">
        <v>0</v>
      </c>
      <c r="H52" s="94">
        <f>+H43+H45+H47+H49</f>
        <v>22629000</v>
      </c>
      <c r="I52" s="75"/>
      <c r="J52" s="94">
        <f>+J43+J45+J47+J49</f>
        <v>53102000</v>
      </c>
      <c r="K52" s="75"/>
      <c r="L52" s="94">
        <f>+L43+L45+L47+L49</f>
        <v>15979000</v>
      </c>
      <c r="M52" s="75"/>
      <c r="N52" s="94">
        <f>+N43+N45+N47+N49</f>
        <v>53499000</v>
      </c>
      <c r="O52" s="75"/>
      <c r="P52" s="94">
        <f>+P43+P45+P47+P49</f>
        <v>38368000</v>
      </c>
      <c r="Q52" s="75">
        <v>0</v>
      </c>
      <c r="R52" s="94">
        <f>+R43+R45+R47+R49</f>
        <v>157000</v>
      </c>
    </row>
    <row r="53" spans="1:18" x14ac:dyDescent="0.15">
      <c r="A53" s="87"/>
      <c r="B53" s="87"/>
      <c r="C53" s="88"/>
      <c r="D53" s="88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</row>
    <row r="54" spans="1:18" x14ac:dyDescent="0.15">
      <c r="A54" s="97" t="s">
        <v>36</v>
      </c>
      <c r="B54" s="87"/>
      <c r="C54" s="88"/>
      <c r="D54" s="88"/>
      <c r="E54" s="88"/>
      <c r="G54" s="69"/>
      <c r="H54" s="69"/>
      <c r="I54" s="96"/>
      <c r="J54" s="69"/>
      <c r="K54" s="96"/>
      <c r="L54" s="69"/>
      <c r="M54" s="96"/>
      <c r="N54" s="96"/>
      <c r="O54" s="96"/>
      <c r="P54" s="96"/>
      <c r="Q54" s="96"/>
      <c r="R54" s="69"/>
    </row>
    <row r="55" spans="1:18" x14ac:dyDescent="0.15">
      <c r="A55" s="88"/>
      <c r="B55" s="88"/>
      <c r="C55" s="52"/>
      <c r="D55" s="52"/>
      <c r="G55" s="69"/>
      <c r="H55" s="69"/>
      <c r="I55" s="96"/>
      <c r="J55" s="96"/>
      <c r="K55" s="96"/>
      <c r="L55" s="96"/>
      <c r="M55" s="96"/>
      <c r="N55" s="96"/>
      <c r="O55" s="96"/>
      <c r="P55" s="96"/>
      <c r="Q55" s="96"/>
      <c r="R55" s="69"/>
    </row>
    <row r="56" spans="1:18" x14ac:dyDescent="0.15">
      <c r="A56" s="88"/>
      <c r="B56" s="88" t="s">
        <v>13</v>
      </c>
      <c r="C56" s="52"/>
      <c r="D56" s="52"/>
      <c r="G56" s="69"/>
      <c r="H56" s="69"/>
      <c r="I56" s="96"/>
      <c r="J56" s="96"/>
      <c r="K56" s="96"/>
      <c r="L56" s="96"/>
      <c r="M56" s="96"/>
      <c r="N56" s="96"/>
      <c r="O56" s="96"/>
      <c r="P56" s="96"/>
      <c r="Q56" s="96"/>
      <c r="R56" s="69"/>
    </row>
    <row r="57" spans="1:18" x14ac:dyDescent="0.15">
      <c r="A57" s="88"/>
      <c r="B57" s="88"/>
      <c r="C57" s="52" t="s">
        <v>37</v>
      </c>
      <c r="D57" s="52"/>
      <c r="E57" s="91"/>
      <c r="F57" s="75">
        <f>SUM(H57:L57)</f>
        <v>6544000</v>
      </c>
      <c r="G57" s="92"/>
      <c r="H57" s="90">
        <v>5552000</v>
      </c>
      <c r="I57" s="93"/>
      <c r="J57" s="90">
        <v>401000</v>
      </c>
      <c r="K57" s="93"/>
      <c r="L57" s="90">
        <v>591000</v>
      </c>
      <c r="M57" s="93"/>
      <c r="N57" s="90">
        <v>4089000</v>
      </c>
      <c r="O57" s="93"/>
      <c r="P57" s="90">
        <v>2455000</v>
      </c>
      <c r="Q57" s="93"/>
      <c r="R57" s="90">
        <v>0</v>
      </c>
    </row>
    <row r="58" spans="1:18" x14ac:dyDescent="0.15">
      <c r="A58" s="88"/>
      <c r="B58" s="88"/>
      <c r="C58" s="52" t="s">
        <v>38</v>
      </c>
      <c r="D58" s="52"/>
      <c r="E58" s="91"/>
      <c r="F58" s="75">
        <f>SUM(H58:L58)</f>
        <v>20609000</v>
      </c>
      <c r="G58" s="92"/>
      <c r="H58" s="90">
        <v>15801000</v>
      </c>
      <c r="I58" s="93"/>
      <c r="J58" s="90">
        <v>2289000</v>
      </c>
      <c r="K58" s="93"/>
      <c r="L58" s="90">
        <v>2519000</v>
      </c>
      <c r="M58" s="93"/>
      <c r="N58" s="90">
        <v>12193000</v>
      </c>
      <c r="O58" s="93"/>
      <c r="P58" s="90">
        <v>8416000</v>
      </c>
      <c r="Q58" s="93"/>
      <c r="R58" s="90">
        <v>0</v>
      </c>
    </row>
    <row r="59" spans="1:18" x14ac:dyDescent="0.15">
      <c r="A59" s="88"/>
      <c r="B59" s="88"/>
      <c r="C59" s="52" t="s">
        <v>39</v>
      </c>
      <c r="D59" s="52"/>
      <c r="E59" s="91"/>
      <c r="F59" s="94">
        <f>SUM(H59:L59)</f>
        <v>7845000</v>
      </c>
      <c r="G59" s="69"/>
      <c r="H59" s="95">
        <v>5908000</v>
      </c>
      <c r="I59" s="90"/>
      <c r="J59" s="95">
        <v>489000</v>
      </c>
      <c r="K59" s="90"/>
      <c r="L59" s="95">
        <v>1448000</v>
      </c>
      <c r="M59" s="90"/>
      <c r="N59" s="95">
        <v>3789000</v>
      </c>
      <c r="O59" s="90"/>
      <c r="P59" s="95">
        <v>4100000</v>
      </c>
      <c r="Q59" s="90"/>
      <c r="R59" s="95">
        <v>44000</v>
      </c>
    </row>
    <row r="60" spans="1:18" x14ac:dyDescent="0.15">
      <c r="A60" s="88"/>
      <c r="B60" s="88"/>
      <c r="C60" s="52"/>
      <c r="D60" s="52"/>
      <c r="G60" s="69"/>
      <c r="H60" s="69"/>
      <c r="I60" s="98"/>
      <c r="J60" s="96"/>
      <c r="K60" s="98"/>
      <c r="L60" s="96"/>
      <c r="M60" s="98"/>
      <c r="N60" s="96"/>
      <c r="O60" s="98"/>
      <c r="P60" s="98"/>
      <c r="Q60" s="98"/>
      <c r="R60" s="69"/>
    </row>
    <row r="61" spans="1:18" x14ac:dyDescent="0.15">
      <c r="A61" s="88"/>
      <c r="B61" s="88"/>
      <c r="C61" s="52"/>
      <c r="D61" s="52"/>
      <c r="E61" s="52" t="s">
        <v>3</v>
      </c>
      <c r="F61" s="94">
        <f>SUM(H61:L61)</f>
        <v>34998000</v>
      </c>
      <c r="G61" s="69"/>
      <c r="H61" s="94">
        <f>SUM(H57:H60)</f>
        <v>27261000</v>
      </c>
      <c r="I61" s="75"/>
      <c r="J61" s="94">
        <f>SUM(J57:J60)</f>
        <v>3179000</v>
      </c>
      <c r="K61" s="75"/>
      <c r="L61" s="94">
        <f>SUM(L57:L60)</f>
        <v>4558000</v>
      </c>
      <c r="M61" s="75"/>
      <c r="N61" s="94">
        <f>SUM(N57:N60)</f>
        <v>20071000</v>
      </c>
      <c r="O61" s="75"/>
      <c r="P61" s="94">
        <f>SUM(P57:P60)</f>
        <v>14971000</v>
      </c>
      <c r="Q61" s="75"/>
      <c r="R61" s="94">
        <f>SUM(R57:R60)</f>
        <v>44000</v>
      </c>
    </row>
    <row r="62" spans="1:18" x14ac:dyDescent="0.15">
      <c r="A62" s="88"/>
      <c r="B62" s="88"/>
      <c r="C62" s="52"/>
      <c r="D62" s="52"/>
      <c r="G62" s="69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</row>
    <row r="63" spans="1:18" x14ac:dyDescent="0.15">
      <c r="A63" s="88"/>
      <c r="B63" s="88" t="s">
        <v>24</v>
      </c>
      <c r="C63" s="52"/>
      <c r="D63" s="52"/>
      <c r="G63" s="69"/>
      <c r="H63" s="69"/>
      <c r="I63" s="69"/>
      <c r="J63" s="96"/>
      <c r="K63" s="69"/>
      <c r="L63" s="96"/>
      <c r="M63" s="69"/>
      <c r="N63" s="69"/>
      <c r="O63" s="69"/>
      <c r="P63" s="69"/>
      <c r="Q63" s="69"/>
      <c r="R63" s="69"/>
    </row>
    <row r="64" spans="1:18" x14ac:dyDescent="0.15">
      <c r="C64" s="52" t="s">
        <v>37</v>
      </c>
      <c r="D64" s="52"/>
      <c r="E64" s="91"/>
      <c r="F64" s="75">
        <f>SUM(H64:L64)</f>
        <v>4376000</v>
      </c>
      <c r="G64" s="92"/>
      <c r="H64" s="90">
        <v>56000</v>
      </c>
      <c r="I64" s="93"/>
      <c r="J64" s="90">
        <v>51000</v>
      </c>
      <c r="K64" s="93"/>
      <c r="L64" s="90">
        <v>4269000</v>
      </c>
      <c r="M64" s="93"/>
      <c r="N64" s="90">
        <v>2225000</v>
      </c>
      <c r="O64" s="93"/>
      <c r="P64" s="90">
        <v>2151000</v>
      </c>
      <c r="Q64" s="93"/>
      <c r="R64" s="90">
        <v>0</v>
      </c>
    </row>
    <row r="65" spans="1:18" x14ac:dyDescent="0.15">
      <c r="C65" s="52" t="s">
        <v>38</v>
      </c>
      <c r="D65" s="52"/>
      <c r="E65" s="91"/>
      <c r="F65" s="75">
        <f>SUM(H65:L65)</f>
        <v>22504000</v>
      </c>
      <c r="G65" s="92"/>
      <c r="H65" s="90">
        <v>447000</v>
      </c>
      <c r="I65" s="93"/>
      <c r="J65" s="90">
        <v>1744000</v>
      </c>
      <c r="K65" s="93"/>
      <c r="L65" s="90">
        <v>20313000</v>
      </c>
      <c r="M65" s="93"/>
      <c r="N65" s="90">
        <v>8942000</v>
      </c>
      <c r="O65" s="93"/>
      <c r="P65" s="90">
        <v>13562000</v>
      </c>
      <c r="Q65" s="93"/>
      <c r="R65" s="90">
        <v>0</v>
      </c>
    </row>
    <row r="66" spans="1:18" x14ac:dyDescent="0.15">
      <c r="A66" s="87"/>
      <c r="B66" s="87"/>
      <c r="C66" s="52" t="s">
        <v>39</v>
      </c>
      <c r="D66" s="52"/>
      <c r="E66" s="91"/>
      <c r="F66" s="94">
        <f>SUM(H66:L66)</f>
        <v>22000</v>
      </c>
      <c r="G66" s="69"/>
      <c r="H66" s="95">
        <v>0</v>
      </c>
      <c r="I66" s="90"/>
      <c r="J66" s="95">
        <v>22000</v>
      </c>
      <c r="K66" s="90"/>
      <c r="L66" s="95">
        <v>0</v>
      </c>
      <c r="M66" s="90"/>
      <c r="N66" s="95">
        <v>0</v>
      </c>
      <c r="O66" s="90"/>
      <c r="P66" s="95">
        <v>22000</v>
      </c>
      <c r="Q66" s="90"/>
      <c r="R66" s="95">
        <v>0</v>
      </c>
    </row>
    <row r="67" spans="1:18" x14ac:dyDescent="0.15">
      <c r="A67" s="88"/>
      <c r="B67" s="88"/>
      <c r="C67" s="52"/>
      <c r="D67" s="52"/>
      <c r="G67" s="69"/>
      <c r="H67" s="69"/>
      <c r="I67" s="69"/>
      <c r="J67" s="69"/>
      <c r="K67" s="69"/>
      <c r="L67" s="98"/>
      <c r="M67" s="69"/>
      <c r="N67" s="69"/>
      <c r="O67" s="69"/>
      <c r="P67" s="69"/>
      <c r="Q67" s="69"/>
      <c r="R67" s="69"/>
    </row>
    <row r="68" spans="1:18" x14ac:dyDescent="0.15">
      <c r="A68" s="88"/>
      <c r="B68" s="88"/>
      <c r="C68" s="52"/>
      <c r="D68" s="52"/>
      <c r="E68" s="52" t="s">
        <v>3</v>
      </c>
      <c r="F68" s="94">
        <f>SUM(H68:L68)</f>
        <v>26902000</v>
      </c>
      <c r="G68" s="69"/>
      <c r="H68" s="94">
        <f>SUM(H64:H67)</f>
        <v>503000</v>
      </c>
      <c r="I68" s="75"/>
      <c r="J68" s="94">
        <f>SUM(J64:J67)</f>
        <v>1817000</v>
      </c>
      <c r="K68" s="75"/>
      <c r="L68" s="94">
        <f>SUM(L64:L67)</f>
        <v>24582000</v>
      </c>
      <c r="M68" s="75"/>
      <c r="N68" s="94">
        <f>SUM(N64:N67)</f>
        <v>11167000</v>
      </c>
      <c r="O68" s="75"/>
      <c r="P68" s="94">
        <f>SUM(P64:P67)</f>
        <v>15735000</v>
      </c>
      <c r="Q68" s="75"/>
      <c r="R68" s="94">
        <f>SUM(R64:R67)</f>
        <v>0</v>
      </c>
    </row>
    <row r="69" spans="1:18" x14ac:dyDescent="0.15">
      <c r="A69" s="88"/>
      <c r="B69" s="88"/>
      <c r="C69" s="52"/>
      <c r="D69" s="52"/>
      <c r="G69" s="69"/>
      <c r="H69" s="69"/>
      <c r="I69" s="96"/>
      <c r="J69" s="96"/>
      <c r="K69" s="96"/>
      <c r="L69" s="96"/>
      <c r="M69" s="96"/>
      <c r="N69" s="96"/>
      <c r="O69" s="96"/>
      <c r="P69" s="96"/>
      <c r="Q69" s="96"/>
      <c r="R69" s="69"/>
    </row>
    <row r="70" spans="1:18" x14ac:dyDescent="0.15">
      <c r="A70" s="88"/>
      <c r="B70" s="88" t="s">
        <v>29</v>
      </c>
      <c r="C70" s="52"/>
      <c r="D70" s="52"/>
      <c r="F70" s="94">
        <f>SUM(H70:L70)</f>
        <v>22000</v>
      </c>
      <c r="G70" s="69"/>
      <c r="H70" s="95">
        <v>11000</v>
      </c>
      <c r="I70" s="90"/>
      <c r="J70" s="95">
        <v>9000</v>
      </c>
      <c r="K70" s="90"/>
      <c r="L70" s="95">
        <v>2000</v>
      </c>
      <c r="M70" s="90"/>
      <c r="N70" s="95">
        <v>2136000</v>
      </c>
      <c r="O70" s="90"/>
      <c r="P70" s="95">
        <v>2351000</v>
      </c>
      <c r="Q70" s="90"/>
      <c r="R70" s="95">
        <v>4465000</v>
      </c>
    </row>
    <row r="71" spans="1:18" x14ac:dyDescent="0.15">
      <c r="A71" s="88"/>
      <c r="B71" s="88"/>
      <c r="C71" s="52"/>
      <c r="D71" s="52"/>
      <c r="G71" s="69"/>
      <c r="H71" s="69"/>
      <c r="I71" s="96"/>
      <c r="J71" s="96"/>
      <c r="K71" s="96"/>
      <c r="L71" s="96"/>
      <c r="M71" s="96"/>
      <c r="N71" s="96"/>
      <c r="O71" s="96"/>
      <c r="P71" s="96"/>
      <c r="Q71" s="96"/>
      <c r="R71" s="69"/>
    </row>
    <row r="72" spans="1:18" x14ac:dyDescent="0.15">
      <c r="A72" s="88"/>
      <c r="B72" s="88"/>
      <c r="C72" s="52"/>
      <c r="D72" s="52"/>
      <c r="E72" s="52" t="s">
        <v>40</v>
      </c>
      <c r="F72" s="94">
        <f>SUM(H72:L72)</f>
        <v>61922000</v>
      </c>
      <c r="G72" s="69"/>
      <c r="H72" s="94">
        <f>+H61+H68+H70</f>
        <v>27775000</v>
      </c>
      <c r="I72" s="69"/>
      <c r="J72" s="94">
        <f>+J61+J68+J70</f>
        <v>5005000</v>
      </c>
      <c r="K72" s="69"/>
      <c r="L72" s="94">
        <f>+L61+L68+L70</f>
        <v>29142000</v>
      </c>
      <c r="M72" s="69"/>
      <c r="N72" s="94">
        <f>+N61+N68+N70</f>
        <v>33374000</v>
      </c>
      <c r="O72" s="69"/>
      <c r="P72" s="94">
        <f>+P61+P68+P70</f>
        <v>33057000</v>
      </c>
      <c r="Q72" s="69"/>
      <c r="R72" s="94">
        <f>+R61+R68+R70</f>
        <v>4509000</v>
      </c>
    </row>
    <row r="73" spans="1:18" x14ac:dyDescent="0.15">
      <c r="A73" s="88"/>
      <c r="B73" s="88"/>
      <c r="C73" s="52"/>
      <c r="D73" s="52"/>
      <c r="G73" s="69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69"/>
    </row>
    <row r="74" spans="1:18" x14ac:dyDescent="0.15">
      <c r="A74" s="97" t="s">
        <v>41</v>
      </c>
      <c r="B74" s="88"/>
      <c r="C74" s="52"/>
      <c r="D74" s="52"/>
      <c r="G74" s="69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69"/>
    </row>
    <row r="75" spans="1:18" x14ac:dyDescent="0.15">
      <c r="A75" s="88"/>
      <c r="B75" s="88"/>
      <c r="C75" s="52"/>
      <c r="D75" s="52"/>
      <c r="G75" s="69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69"/>
    </row>
    <row r="76" spans="1:18" x14ac:dyDescent="0.15">
      <c r="A76" s="88"/>
      <c r="B76" s="88" t="s">
        <v>13</v>
      </c>
      <c r="C76" s="52"/>
      <c r="D76" s="52"/>
      <c r="F76" s="94">
        <f>SUM(H76:L76)</f>
        <v>12785000</v>
      </c>
      <c r="G76" s="69"/>
      <c r="H76" s="95">
        <v>11262000</v>
      </c>
      <c r="I76" s="90"/>
      <c r="J76" s="95">
        <v>913000</v>
      </c>
      <c r="K76" s="90"/>
      <c r="L76" s="95">
        <v>610000</v>
      </c>
      <c r="M76" s="90"/>
      <c r="N76" s="95">
        <v>8565000</v>
      </c>
      <c r="O76" s="90"/>
      <c r="P76" s="95">
        <v>4220000</v>
      </c>
      <c r="Q76" s="90"/>
      <c r="R76" s="95">
        <v>0</v>
      </c>
    </row>
    <row r="77" spans="1:18" x14ac:dyDescent="0.15">
      <c r="A77" s="88"/>
      <c r="B77" s="88"/>
      <c r="C77" s="52"/>
      <c r="D77" s="52"/>
      <c r="G77" s="69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</row>
    <row r="78" spans="1:18" x14ac:dyDescent="0.15">
      <c r="B78" s="53" t="s">
        <v>24</v>
      </c>
      <c r="F78" s="94">
        <f>SUM(H78:L78)</f>
        <v>7765000</v>
      </c>
      <c r="G78" s="69"/>
      <c r="H78" s="95">
        <v>2000</v>
      </c>
      <c r="I78" s="90"/>
      <c r="J78" s="95">
        <v>64000</v>
      </c>
      <c r="K78" s="90"/>
      <c r="L78" s="95">
        <v>7699000</v>
      </c>
      <c r="M78" s="90"/>
      <c r="N78" s="95">
        <v>3344000</v>
      </c>
      <c r="O78" s="90"/>
      <c r="P78" s="95">
        <v>4421000</v>
      </c>
      <c r="Q78" s="90"/>
      <c r="R78" s="95">
        <v>0</v>
      </c>
    </row>
    <row r="79" spans="1:18" x14ac:dyDescent="0.15"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</row>
    <row r="80" spans="1:18" x14ac:dyDescent="0.15">
      <c r="A80" s="87"/>
      <c r="B80" s="52" t="s">
        <v>28</v>
      </c>
      <c r="C80" s="88"/>
      <c r="D80" s="88"/>
      <c r="F80" s="75">
        <f>SUM(H80:L80)</f>
        <v>4409000</v>
      </c>
      <c r="G80" s="69"/>
      <c r="H80" s="90">
        <v>792000</v>
      </c>
      <c r="I80" s="93"/>
      <c r="J80" s="90">
        <v>2789000</v>
      </c>
      <c r="K80" s="93"/>
      <c r="L80" s="90">
        <v>828000</v>
      </c>
      <c r="M80" s="93"/>
      <c r="N80" s="90">
        <v>2744000</v>
      </c>
      <c r="O80" s="93"/>
      <c r="P80" s="90">
        <v>1665000</v>
      </c>
      <c r="Q80" s="69"/>
      <c r="R80" s="69">
        <v>0</v>
      </c>
    </row>
    <row r="81" spans="1:18" x14ac:dyDescent="0.15">
      <c r="F81" s="65"/>
      <c r="G81" s="69"/>
      <c r="H81" s="66"/>
      <c r="I81" s="69"/>
      <c r="J81" s="66"/>
      <c r="K81" s="69"/>
      <c r="L81" s="66"/>
      <c r="M81" s="69"/>
      <c r="N81" s="66"/>
      <c r="O81" s="69"/>
      <c r="P81" s="66"/>
      <c r="Q81" s="69"/>
      <c r="R81" s="66"/>
    </row>
    <row r="82" spans="1:18" x14ac:dyDescent="0.15">
      <c r="A82" s="88"/>
      <c r="B82" s="52" t="s">
        <v>29</v>
      </c>
      <c r="C82" s="52"/>
      <c r="D82" s="52"/>
      <c r="F82" s="94">
        <f>SUM(H82:L82)</f>
        <v>170000</v>
      </c>
      <c r="G82" s="69"/>
      <c r="H82" s="95">
        <v>170000</v>
      </c>
      <c r="I82" s="90"/>
      <c r="J82" s="95">
        <v>0</v>
      </c>
      <c r="K82" s="90"/>
      <c r="L82" s="95">
        <v>0</v>
      </c>
      <c r="M82" s="90"/>
      <c r="N82" s="95">
        <v>117000</v>
      </c>
      <c r="O82" s="90"/>
      <c r="P82" s="95">
        <v>53000</v>
      </c>
      <c r="Q82" s="90"/>
      <c r="R82" s="95">
        <v>0</v>
      </c>
    </row>
    <row r="83" spans="1:18" x14ac:dyDescent="0.15">
      <c r="A83" s="88"/>
      <c r="B83" s="88"/>
      <c r="C83" s="52"/>
      <c r="D83" s="52"/>
      <c r="G83" s="69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69"/>
    </row>
    <row r="84" spans="1:18" x14ac:dyDescent="0.15">
      <c r="A84" s="88"/>
      <c r="B84" s="88"/>
      <c r="C84" s="52"/>
      <c r="D84" s="52"/>
      <c r="E84" s="52" t="s">
        <v>42</v>
      </c>
      <c r="F84" s="94">
        <f>SUM(H84:L84)</f>
        <v>25129000</v>
      </c>
      <c r="G84" s="69"/>
      <c r="H84" s="94">
        <f>+H76+H78+H80+H82</f>
        <v>12226000</v>
      </c>
      <c r="I84" s="75"/>
      <c r="J84" s="94">
        <f>+J76+J78+J80+J82</f>
        <v>3766000</v>
      </c>
      <c r="K84" s="75"/>
      <c r="L84" s="94">
        <f>+L76+L78+L80+L82</f>
        <v>9137000</v>
      </c>
      <c r="M84" s="75"/>
      <c r="N84" s="94">
        <f>+N76+N78+N80+N82</f>
        <v>14770000</v>
      </c>
      <c r="O84" s="75"/>
      <c r="P84" s="94">
        <f>+P76+P78+P80+P82</f>
        <v>10359000</v>
      </c>
      <c r="Q84" s="75"/>
      <c r="R84" s="94">
        <f>+R76+R78+R80+R82</f>
        <v>0</v>
      </c>
    </row>
    <row r="85" spans="1:18" x14ac:dyDescent="0.15"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</row>
    <row r="86" spans="1:18" x14ac:dyDescent="0.15">
      <c r="A86" s="79" t="s">
        <v>43</v>
      </c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</row>
    <row r="87" spans="1:18" x14ac:dyDescent="0.15"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</row>
    <row r="88" spans="1:18" x14ac:dyDescent="0.15">
      <c r="A88" s="87"/>
      <c r="B88" s="52" t="s">
        <v>13</v>
      </c>
      <c r="C88" s="88"/>
      <c r="D88" s="88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</row>
    <row r="89" spans="1:18" x14ac:dyDescent="0.15">
      <c r="A89" s="87"/>
      <c r="B89" s="52"/>
      <c r="C89" s="88" t="s">
        <v>44</v>
      </c>
      <c r="D89" s="88"/>
      <c r="F89" s="75">
        <f>SUM(H89:L89)</f>
        <v>6588000</v>
      </c>
      <c r="G89" s="92"/>
      <c r="H89" s="90">
        <v>5658000</v>
      </c>
      <c r="I89" s="93"/>
      <c r="J89" s="90">
        <v>583000</v>
      </c>
      <c r="K89" s="93"/>
      <c r="L89" s="90">
        <v>347000</v>
      </c>
      <c r="M89" s="93"/>
      <c r="N89" s="90">
        <v>3790000</v>
      </c>
      <c r="O89" s="93"/>
      <c r="P89" s="90">
        <v>2798000</v>
      </c>
      <c r="Q89" s="93"/>
      <c r="R89" s="90">
        <v>0</v>
      </c>
    </row>
    <row r="90" spans="1:18" x14ac:dyDescent="0.15">
      <c r="A90" s="88"/>
      <c r="B90" s="88"/>
      <c r="C90" s="52" t="s">
        <v>45</v>
      </c>
      <c r="D90" s="52"/>
      <c r="E90" s="91"/>
      <c r="F90" s="75">
        <f>SUM(H90:L90)</f>
        <v>12959000</v>
      </c>
      <c r="G90" s="92"/>
      <c r="H90" s="90">
        <v>11511000</v>
      </c>
      <c r="I90" s="93"/>
      <c r="J90" s="90">
        <v>657000</v>
      </c>
      <c r="K90" s="93"/>
      <c r="L90" s="90">
        <v>791000</v>
      </c>
      <c r="M90" s="93"/>
      <c r="N90" s="90">
        <v>8382000</v>
      </c>
      <c r="O90" s="93"/>
      <c r="P90" s="90">
        <v>4645000</v>
      </c>
      <c r="Q90" s="93"/>
      <c r="R90" s="90">
        <v>68000</v>
      </c>
    </row>
    <row r="91" spans="1:18" x14ac:dyDescent="0.15">
      <c r="A91" s="88"/>
      <c r="B91" s="88"/>
      <c r="C91" s="52" t="s">
        <v>39</v>
      </c>
      <c r="D91" s="52"/>
      <c r="E91" s="91"/>
      <c r="F91" s="75">
        <f>SUM(H91:L91)</f>
        <v>10227000</v>
      </c>
      <c r="G91" s="92"/>
      <c r="H91" s="90">
        <v>4410000</v>
      </c>
      <c r="I91" s="93"/>
      <c r="J91" s="90">
        <v>3637000</v>
      </c>
      <c r="K91" s="93"/>
      <c r="L91" s="90">
        <v>2180000</v>
      </c>
      <c r="M91" s="93"/>
      <c r="N91" s="90">
        <v>5633000</v>
      </c>
      <c r="O91" s="93"/>
      <c r="P91" s="90">
        <v>4636000</v>
      </c>
      <c r="Q91" s="93"/>
      <c r="R91" s="90">
        <v>42000</v>
      </c>
    </row>
    <row r="92" spans="1:18" x14ac:dyDescent="0.15">
      <c r="A92" s="88"/>
      <c r="B92" s="88"/>
      <c r="C92" s="52" t="s">
        <v>47</v>
      </c>
      <c r="D92" s="52"/>
      <c r="E92" s="91"/>
      <c r="G92" s="69"/>
      <c r="I92" s="90"/>
      <c r="K92" s="90"/>
      <c r="M92" s="90"/>
      <c r="O92" s="90"/>
      <c r="Q92" s="90"/>
    </row>
    <row r="93" spans="1:18" x14ac:dyDescent="0.15">
      <c r="A93" s="88"/>
      <c r="B93" s="88"/>
      <c r="C93" s="52"/>
      <c r="D93" s="52"/>
      <c r="E93" s="52" t="s">
        <v>48</v>
      </c>
      <c r="F93" s="75">
        <f>SUM(H93:L93)</f>
        <v>30658000</v>
      </c>
      <c r="G93" s="92"/>
      <c r="H93" s="90">
        <v>25401000</v>
      </c>
      <c r="I93" s="93"/>
      <c r="J93" s="90">
        <v>1765000</v>
      </c>
      <c r="K93" s="93"/>
      <c r="L93" s="90">
        <v>3492000</v>
      </c>
      <c r="M93" s="93"/>
      <c r="N93" s="90">
        <v>19162000</v>
      </c>
      <c r="O93" s="93"/>
      <c r="P93" s="90">
        <v>11496000</v>
      </c>
      <c r="Q93" s="93"/>
      <c r="R93" s="90">
        <v>0</v>
      </c>
    </row>
    <row r="94" spans="1:18" x14ac:dyDescent="0.15">
      <c r="A94" s="88"/>
      <c r="B94" s="88"/>
      <c r="C94" s="52" t="s">
        <v>49</v>
      </c>
      <c r="D94" s="52"/>
      <c r="E94" s="91"/>
      <c r="F94" s="75">
        <f>SUM(H94:L94)</f>
        <v>46000</v>
      </c>
      <c r="G94" s="92"/>
      <c r="H94" s="90">
        <v>0</v>
      </c>
      <c r="I94" s="93"/>
      <c r="J94" s="90">
        <v>41000</v>
      </c>
      <c r="K94" s="93"/>
      <c r="L94" s="90">
        <v>5000</v>
      </c>
      <c r="M94" s="93"/>
      <c r="N94" s="90">
        <v>0</v>
      </c>
      <c r="O94" s="93"/>
      <c r="P94" s="90">
        <v>46000</v>
      </c>
      <c r="Q94" s="93"/>
      <c r="R94" s="90">
        <v>0</v>
      </c>
    </row>
    <row r="95" spans="1:18" x14ac:dyDescent="0.15">
      <c r="A95" s="88"/>
      <c r="B95" s="88"/>
      <c r="C95" s="52" t="s">
        <v>50</v>
      </c>
      <c r="D95" s="52"/>
      <c r="E95" s="91"/>
      <c r="Q95" s="90"/>
    </row>
    <row r="96" spans="1:18" x14ac:dyDescent="0.15">
      <c r="A96" s="88"/>
      <c r="B96" s="88"/>
      <c r="C96" s="52"/>
      <c r="D96" s="52"/>
      <c r="E96" s="52" t="s">
        <v>51</v>
      </c>
      <c r="F96" s="75">
        <f>SUM(H96:L96)</f>
        <v>5082000</v>
      </c>
      <c r="G96" s="69"/>
      <c r="H96" s="86">
        <v>4389000</v>
      </c>
      <c r="I96" s="90"/>
      <c r="J96" s="86">
        <v>432000</v>
      </c>
      <c r="K96" s="90"/>
      <c r="L96" s="86">
        <v>261000</v>
      </c>
      <c r="M96" s="90"/>
      <c r="N96" s="86">
        <v>3391000</v>
      </c>
      <c r="O96" s="90"/>
      <c r="P96" s="86">
        <v>1691000</v>
      </c>
      <c r="Q96" s="93"/>
      <c r="R96" s="90">
        <v>0</v>
      </c>
    </row>
    <row r="97" spans="1:18" x14ac:dyDescent="0.15">
      <c r="A97" s="88"/>
      <c r="B97" s="88"/>
      <c r="C97" s="52" t="s">
        <v>53</v>
      </c>
      <c r="D97" s="52"/>
      <c r="E97" s="91"/>
      <c r="F97" s="75">
        <f>SUM(H97:L97)</f>
        <v>4896000</v>
      </c>
      <c r="G97" s="92"/>
      <c r="H97" s="90">
        <v>4004000</v>
      </c>
      <c r="I97" s="93"/>
      <c r="J97" s="90">
        <v>413000</v>
      </c>
      <c r="K97" s="93"/>
      <c r="L97" s="90">
        <v>479000</v>
      </c>
      <c r="M97" s="93"/>
      <c r="N97" s="90">
        <v>2595000</v>
      </c>
      <c r="O97" s="93"/>
      <c r="P97" s="90">
        <v>2301000</v>
      </c>
      <c r="Q97" s="93"/>
      <c r="R97" s="90">
        <v>0</v>
      </c>
    </row>
    <row r="98" spans="1:18" x14ac:dyDescent="0.15">
      <c r="C98" s="52" t="s">
        <v>54</v>
      </c>
      <c r="D98" s="52"/>
      <c r="E98" s="91"/>
      <c r="F98" s="75">
        <f>SUM(H98:L98)</f>
        <v>13523000</v>
      </c>
      <c r="G98" s="92"/>
      <c r="H98" s="90">
        <v>10827000</v>
      </c>
      <c r="I98" s="93"/>
      <c r="J98" s="90">
        <v>538000</v>
      </c>
      <c r="K98" s="93"/>
      <c r="L98" s="90">
        <v>2158000</v>
      </c>
      <c r="M98" s="93"/>
      <c r="N98" s="90">
        <v>8169000</v>
      </c>
      <c r="O98" s="93"/>
      <c r="P98" s="90">
        <v>5354000</v>
      </c>
      <c r="Q98" s="93"/>
      <c r="R98" s="90">
        <v>0</v>
      </c>
    </row>
    <row r="99" spans="1:18" x14ac:dyDescent="0.15">
      <c r="A99" s="87"/>
      <c r="B99" s="87"/>
      <c r="C99" s="52" t="s">
        <v>55</v>
      </c>
      <c r="D99" s="52"/>
      <c r="E99" s="91"/>
      <c r="F99" s="94">
        <f>SUM(H99:L99)</f>
        <v>2296000</v>
      </c>
      <c r="G99" s="69"/>
      <c r="H99" s="95">
        <v>1936000</v>
      </c>
      <c r="I99" s="90"/>
      <c r="J99" s="95">
        <v>241000</v>
      </c>
      <c r="K99" s="90"/>
      <c r="L99" s="95">
        <v>119000</v>
      </c>
      <c r="M99" s="90"/>
      <c r="N99" s="95">
        <v>1459000</v>
      </c>
      <c r="O99" s="90"/>
      <c r="P99" s="95">
        <v>837000</v>
      </c>
      <c r="Q99" s="90"/>
      <c r="R99" s="95">
        <v>0</v>
      </c>
    </row>
    <row r="100" spans="1:18" x14ac:dyDescent="0.15">
      <c r="A100" s="88"/>
      <c r="B100" s="87"/>
      <c r="C100" s="88"/>
      <c r="D100" s="88"/>
      <c r="E100" s="88"/>
      <c r="G100" s="69"/>
      <c r="H100" s="69"/>
      <c r="I100" s="96"/>
      <c r="J100" s="69"/>
      <c r="K100" s="96"/>
      <c r="L100" s="69"/>
      <c r="M100" s="96"/>
      <c r="N100" s="69"/>
      <c r="O100" s="96"/>
      <c r="P100" s="96"/>
      <c r="Q100" s="96"/>
      <c r="R100" s="69"/>
    </row>
    <row r="101" spans="1:18" x14ac:dyDescent="0.15">
      <c r="A101" s="88"/>
      <c r="B101" s="88"/>
      <c r="C101" s="52"/>
      <c r="D101" s="52"/>
      <c r="E101" s="52" t="s">
        <v>3</v>
      </c>
      <c r="F101" s="94">
        <f>SUM(H101:L101)</f>
        <v>86275000</v>
      </c>
      <c r="G101" s="69"/>
      <c r="H101" s="94">
        <f>SUM(H89:H100)</f>
        <v>68136000</v>
      </c>
      <c r="I101" s="75"/>
      <c r="J101" s="94">
        <f>SUM(J89:J100)</f>
        <v>8307000</v>
      </c>
      <c r="K101" s="75"/>
      <c r="L101" s="94">
        <f>SUM(L89:L100)</f>
        <v>9832000</v>
      </c>
      <c r="M101" s="75"/>
      <c r="N101" s="94">
        <f>SUM(N89:N100)</f>
        <v>52581000</v>
      </c>
      <c r="O101" s="75"/>
      <c r="P101" s="94">
        <f>SUM(P89:P100)</f>
        <v>33804000</v>
      </c>
      <c r="Q101" s="75"/>
      <c r="R101" s="94">
        <f>SUM(R89:R100)</f>
        <v>110000</v>
      </c>
    </row>
    <row r="102" spans="1:18" x14ac:dyDescent="0.15"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</row>
    <row r="103" spans="1:18" x14ac:dyDescent="0.15">
      <c r="A103" s="87"/>
      <c r="B103" s="52" t="s">
        <v>24</v>
      </c>
      <c r="C103" s="88"/>
      <c r="D103" s="88"/>
      <c r="G103" s="69"/>
      <c r="H103" s="96"/>
      <c r="I103" s="96"/>
      <c r="J103" s="69"/>
      <c r="K103" s="96"/>
      <c r="L103" s="69"/>
      <c r="M103" s="96"/>
      <c r="N103" s="96"/>
      <c r="O103" s="96"/>
      <c r="P103" s="96"/>
      <c r="Q103" s="96"/>
      <c r="R103" s="69"/>
    </row>
    <row r="104" spans="1:18" x14ac:dyDescent="0.15">
      <c r="A104" s="88"/>
      <c r="B104" s="88"/>
      <c r="C104" s="52" t="s">
        <v>44</v>
      </c>
      <c r="D104" s="52"/>
      <c r="E104" s="91"/>
      <c r="F104" s="75">
        <f t="shared" ref="F104:F116" si="3">SUM(H104:L104)</f>
        <v>309000</v>
      </c>
      <c r="G104" s="92"/>
      <c r="H104" s="90">
        <v>24000</v>
      </c>
      <c r="I104" s="93"/>
      <c r="J104" s="90">
        <v>171000</v>
      </c>
      <c r="K104" s="93"/>
      <c r="L104" s="90">
        <v>114000</v>
      </c>
      <c r="M104" s="93"/>
      <c r="N104" s="90">
        <v>132000</v>
      </c>
      <c r="O104" s="93"/>
      <c r="P104" s="90">
        <v>177000</v>
      </c>
      <c r="Q104" s="93"/>
      <c r="R104" s="90">
        <v>0</v>
      </c>
    </row>
    <row r="105" spans="1:18" x14ac:dyDescent="0.15">
      <c r="A105" s="88"/>
      <c r="B105" s="88"/>
      <c r="C105" s="52" t="s">
        <v>45</v>
      </c>
      <c r="D105" s="52"/>
      <c r="E105" s="91"/>
      <c r="F105" s="75">
        <f t="shared" si="3"/>
        <v>140000</v>
      </c>
      <c r="G105" s="92"/>
      <c r="H105" s="90">
        <v>3000</v>
      </c>
      <c r="I105" s="93"/>
      <c r="J105" s="90">
        <v>53000</v>
      </c>
      <c r="K105" s="93"/>
      <c r="L105" s="90">
        <v>84000</v>
      </c>
      <c r="M105" s="93"/>
      <c r="N105" s="90">
        <v>90000</v>
      </c>
      <c r="O105" s="93"/>
      <c r="P105" s="90">
        <v>51000</v>
      </c>
      <c r="Q105" s="93"/>
      <c r="R105" s="90">
        <v>1000</v>
      </c>
    </row>
    <row r="106" spans="1:18" x14ac:dyDescent="0.15">
      <c r="A106" s="88"/>
      <c r="B106" s="88"/>
      <c r="C106" s="52" t="s">
        <v>39</v>
      </c>
      <c r="D106" s="52"/>
      <c r="E106" s="91"/>
      <c r="F106" s="75">
        <f t="shared" si="3"/>
        <v>495000</v>
      </c>
      <c r="G106" s="92"/>
      <c r="H106" s="90">
        <v>301000</v>
      </c>
      <c r="I106" s="93"/>
      <c r="J106" s="90">
        <v>-10000</v>
      </c>
      <c r="K106" s="93"/>
      <c r="L106" s="90">
        <v>204000</v>
      </c>
      <c r="M106" s="93"/>
      <c r="N106" s="90">
        <v>343000</v>
      </c>
      <c r="O106" s="93"/>
      <c r="P106" s="90">
        <v>152000</v>
      </c>
      <c r="Q106" s="93"/>
      <c r="R106" s="90">
        <v>0</v>
      </c>
    </row>
    <row r="107" spans="1:18" x14ac:dyDescent="0.15">
      <c r="A107" s="88"/>
      <c r="B107" s="88"/>
      <c r="C107" s="52" t="s">
        <v>56</v>
      </c>
      <c r="D107" s="52"/>
      <c r="E107" s="91"/>
      <c r="F107" s="75">
        <f t="shared" si="3"/>
        <v>4508000</v>
      </c>
      <c r="G107" s="92"/>
      <c r="H107" s="90">
        <v>549000</v>
      </c>
      <c r="I107" s="93"/>
      <c r="J107" s="90">
        <v>468000</v>
      </c>
      <c r="K107" s="93"/>
      <c r="L107" s="90">
        <v>3491000</v>
      </c>
      <c r="M107" s="93"/>
      <c r="N107" s="90">
        <v>2343000</v>
      </c>
      <c r="O107" s="93"/>
      <c r="P107" s="90">
        <v>2165000</v>
      </c>
      <c r="Q107" s="93"/>
      <c r="R107" s="90">
        <v>0</v>
      </c>
    </row>
    <row r="108" spans="1:18" x14ac:dyDescent="0.15">
      <c r="A108" s="88"/>
      <c r="B108" s="88"/>
      <c r="C108" s="52" t="s">
        <v>47</v>
      </c>
      <c r="D108" s="52"/>
      <c r="E108" s="91"/>
      <c r="G108" s="92"/>
      <c r="H108" s="90"/>
      <c r="I108" s="93"/>
      <c r="J108" s="90"/>
      <c r="K108" s="93"/>
      <c r="L108" s="90"/>
      <c r="M108" s="93"/>
      <c r="N108" s="90"/>
      <c r="O108" s="93"/>
      <c r="P108" s="90"/>
      <c r="Q108" s="93"/>
      <c r="R108" s="90"/>
    </row>
    <row r="109" spans="1:18" x14ac:dyDescent="0.15">
      <c r="A109" s="88"/>
      <c r="B109" s="88"/>
      <c r="C109" s="52"/>
      <c r="D109" s="52"/>
      <c r="E109" s="52" t="s">
        <v>48</v>
      </c>
      <c r="F109" s="75">
        <f t="shared" si="3"/>
        <v>15000</v>
      </c>
      <c r="G109" s="92"/>
      <c r="H109" s="90">
        <v>0</v>
      </c>
      <c r="I109" s="93"/>
      <c r="J109" s="90">
        <v>4000</v>
      </c>
      <c r="K109" s="93"/>
      <c r="L109" s="90">
        <v>11000</v>
      </c>
      <c r="M109" s="93"/>
      <c r="N109" s="90">
        <v>0</v>
      </c>
      <c r="O109" s="93"/>
      <c r="P109" s="90">
        <v>15000</v>
      </c>
      <c r="Q109" s="93"/>
      <c r="R109" s="90">
        <v>0</v>
      </c>
    </row>
    <row r="110" spans="1:18" x14ac:dyDescent="0.15">
      <c r="A110" s="88"/>
      <c r="B110" s="88"/>
      <c r="C110" s="52" t="s">
        <v>49</v>
      </c>
      <c r="D110" s="52"/>
      <c r="E110" s="91"/>
      <c r="F110" s="75">
        <f t="shared" si="3"/>
        <v>113067000</v>
      </c>
      <c r="G110" s="92"/>
      <c r="H110" s="90">
        <v>954000</v>
      </c>
      <c r="I110" s="93"/>
      <c r="J110" s="90">
        <v>11523000</v>
      </c>
      <c r="K110" s="93"/>
      <c r="L110" s="90">
        <v>100590000</v>
      </c>
      <c r="M110" s="93"/>
      <c r="N110" s="90">
        <v>54484000</v>
      </c>
      <c r="O110" s="93"/>
      <c r="P110" s="90">
        <v>58585000</v>
      </c>
      <c r="Q110" s="93"/>
      <c r="R110" s="90">
        <v>2000</v>
      </c>
    </row>
    <row r="111" spans="1:18" x14ac:dyDescent="0.15">
      <c r="A111" s="88"/>
      <c r="B111" s="88"/>
      <c r="C111" s="52" t="s">
        <v>50</v>
      </c>
      <c r="D111" s="52"/>
      <c r="E111" s="91"/>
      <c r="G111" s="92"/>
      <c r="H111" s="90"/>
      <c r="I111" s="93"/>
      <c r="J111" s="90"/>
      <c r="K111" s="93"/>
      <c r="L111" s="90"/>
      <c r="M111" s="93"/>
      <c r="N111" s="90"/>
      <c r="O111" s="93"/>
      <c r="P111" s="90"/>
      <c r="Q111" s="93"/>
      <c r="R111" s="90"/>
    </row>
    <row r="112" spans="1:18" x14ac:dyDescent="0.15">
      <c r="A112" s="88"/>
      <c r="B112" s="88"/>
      <c r="C112" s="52"/>
      <c r="D112" s="52"/>
      <c r="E112" s="52" t="s">
        <v>51</v>
      </c>
      <c r="F112" s="75">
        <f t="shared" si="3"/>
        <v>65000</v>
      </c>
      <c r="G112" s="92"/>
      <c r="H112" s="90">
        <v>4000</v>
      </c>
      <c r="I112" s="93"/>
      <c r="J112" s="90">
        <v>1000</v>
      </c>
      <c r="K112" s="93"/>
      <c r="L112" s="90">
        <v>60000</v>
      </c>
      <c r="M112" s="93"/>
      <c r="N112" s="90">
        <v>50000</v>
      </c>
      <c r="O112" s="93"/>
      <c r="P112" s="90">
        <v>15000</v>
      </c>
      <c r="Q112" s="93"/>
      <c r="R112" s="90">
        <v>0</v>
      </c>
    </row>
    <row r="113" spans="1:18" x14ac:dyDescent="0.15">
      <c r="A113" s="88"/>
      <c r="B113" s="88"/>
      <c r="C113" s="52" t="s">
        <v>57</v>
      </c>
      <c r="D113" s="52"/>
      <c r="E113" s="91"/>
      <c r="G113" s="92"/>
      <c r="H113" s="90"/>
      <c r="I113" s="93"/>
      <c r="J113" s="90"/>
      <c r="K113" s="93"/>
      <c r="L113" s="90"/>
      <c r="M113" s="93"/>
      <c r="N113" s="90"/>
      <c r="O113" s="93"/>
      <c r="P113" s="90"/>
      <c r="Q113" s="93"/>
      <c r="R113" s="90"/>
    </row>
    <row r="114" spans="1:18" x14ac:dyDescent="0.15">
      <c r="A114" s="88"/>
      <c r="B114" s="88"/>
      <c r="C114" s="52"/>
      <c r="D114" s="52"/>
      <c r="E114" s="91" t="s">
        <v>58</v>
      </c>
      <c r="F114" s="75">
        <f t="shared" si="3"/>
        <v>2958000</v>
      </c>
      <c r="G114" s="92"/>
      <c r="H114" s="90">
        <v>354000</v>
      </c>
      <c r="I114" s="93"/>
      <c r="J114" s="90">
        <v>143000</v>
      </c>
      <c r="K114" s="93"/>
      <c r="L114" s="90">
        <v>2461000</v>
      </c>
      <c r="M114" s="93"/>
      <c r="N114" s="90">
        <v>1492000</v>
      </c>
      <c r="O114" s="93"/>
      <c r="P114" s="90">
        <v>1466000</v>
      </c>
      <c r="Q114" s="93"/>
      <c r="R114" s="90">
        <v>0</v>
      </c>
    </row>
    <row r="115" spans="1:18" x14ac:dyDescent="0.15">
      <c r="A115" s="88"/>
      <c r="B115" s="88"/>
      <c r="C115" s="52" t="s">
        <v>53</v>
      </c>
      <c r="D115" s="52"/>
      <c r="E115" s="91"/>
      <c r="F115" s="75">
        <f t="shared" si="3"/>
        <v>4000</v>
      </c>
      <c r="G115" s="92"/>
      <c r="H115" s="90">
        <v>0</v>
      </c>
      <c r="I115" s="93"/>
      <c r="J115" s="90">
        <v>0</v>
      </c>
      <c r="K115" s="93"/>
      <c r="L115" s="90">
        <v>4000</v>
      </c>
      <c r="M115" s="93"/>
      <c r="N115" s="90">
        <v>0</v>
      </c>
      <c r="O115" s="93"/>
      <c r="P115" s="90">
        <v>4000</v>
      </c>
      <c r="Q115" s="93"/>
      <c r="R115" s="90">
        <v>0</v>
      </c>
    </row>
    <row r="116" spans="1:18" x14ac:dyDescent="0.15">
      <c r="A116" s="88"/>
      <c r="B116" s="88"/>
      <c r="C116" s="52" t="s">
        <v>59</v>
      </c>
      <c r="D116" s="52"/>
      <c r="E116" s="91"/>
      <c r="F116" s="75">
        <f t="shared" si="3"/>
        <v>240000</v>
      </c>
      <c r="G116" s="92"/>
      <c r="H116" s="90">
        <v>7000</v>
      </c>
      <c r="I116" s="93"/>
      <c r="J116" s="90">
        <v>63000</v>
      </c>
      <c r="K116" s="93"/>
      <c r="L116" s="90">
        <v>170000</v>
      </c>
      <c r="M116" s="93"/>
      <c r="N116" s="90">
        <v>58000</v>
      </c>
      <c r="O116" s="93"/>
      <c r="P116" s="90">
        <v>182000</v>
      </c>
      <c r="Q116" s="93"/>
      <c r="R116" s="90">
        <v>0</v>
      </c>
    </row>
    <row r="117" spans="1:18" x14ac:dyDescent="0.15">
      <c r="C117" s="52" t="s">
        <v>55</v>
      </c>
      <c r="D117" s="52"/>
      <c r="E117" s="91"/>
      <c r="F117" s="94">
        <f>SUM(H117:L117)</f>
        <v>16000</v>
      </c>
      <c r="G117" s="69"/>
      <c r="H117" s="95">
        <v>0</v>
      </c>
      <c r="I117" s="90"/>
      <c r="J117" s="95">
        <v>0</v>
      </c>
      <c r="K117" s="90"/>
      <c r="L117" s="95">
        <v>16000</v>
      </c>
      <c r="M117" s="90"/>
      <c r="N117" s="95">
        <v>0</v>
      </c>
      <c r="O117" s="90"/>
      <c r="P117" s="95">
        <v>16000</v>
      </c>
      <c r="Q117" s="90"/>
      <c r="R117" s="95">
        <v>0</v>
      </c>
    </row>
    <row r="118" spans="1:18" x14ac:dyDescent="0.15">
      <c r="A118" s="88"/>
      <c r="B118" s="88"/>
      <c r="C118" s="52"/>
      <c r="D118" s="52"/>
      <c r="G118" s="69"/>
      <c r="H118" s="96"/>
      <c r="I118" s="96"/>
      <c r="J118" s="69"/>
      <c r="K118" s="96"/>
      <c r="L118" s="96"/>
      <c r="M118" s="96"/>
      <c r="N118" s="96"/>
      <c r="O118" s="96"/>
      <c r="P118" s="96"/>
      <c r="Q118" s="96"/>
      <c r="R118" s="69"/>
    </row>
    <row r="119" spans="1:18" x14ac:dyDescent="0.15">
      <c r="A119" s="88"/>
      <c r="B119" s="88"/>
      <c r="C119" s="52"/>
      <c r="D119" s="52"/>
      <c r="E119" s="52" t="s">
        <v>60</v>
      </c>
      <c r="F119" s="94">
        <f>SUM(H119:L119)</f>
        <v>121817000</v>
      </c>
      <c r="G119" s="69"/>
      <c r="H119" s="94">
        <f>SUM(H104:H118)</f>
        <v>2196000</v>
      </c>
      <c r="I119" s="75"/>
      <c r="J119" s="94">
        <f>SUM(J104:J118)</f>
        <v>12416000</v>
      </c>
      <c r="K119" s="75"/>
      <c r="L119" s="94">
        <f>SUM(L104:L118)</f>
        <v>107205000</v>
      </c>
      <c r="M119" s="75"/>
      <c r="N119" s="94">
        <f>SUM(N104:N118)</f>
        <v>58992000</v>
      </c>
      <c r="O119" s="75"/>
      <c r="P119" s="94">
        <f>SUM(P104:P118)</f>
        <v>62828000</v>
      </c>
      <c r="Q119" s="75"/>
      <c r="R119" s="94">
        <f>SUM(R104:R118)</f>
        <v>3000</v>
      </c>
    </row>
    <row r="120" spans="1:18" x14ac:dyDescent="0.15">
      <c r="A120" s="88"/>
      <c r="B120" s="88"/>
      <c r="C120" s="52"/>
      <c r="D120" s="52"/>
      <c r="G120" s="69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</row>
    <row r="121" spans="1:18" x14ac:dyDescent="0.15">
      <c r="A121" s="88"/>
      <c r="B121" s="88" t="s">
        <v>28</v>
      </c>
      <c r="C121" s="52"/>
      <c r="D121" s="52"/>
      <c r="F121" s="94">
        <f>SUM(H121:L121)</f>
        <v>63000</v>
      </c>
      <c r="G121" s="69"/>
      <c r="H121" s="95">
        <v>0</v>
      </c>
      <c r="I121" s="93"/>
      <c r="J121" s="95">
        <v>62000</v>
      </c>
      <c r="K121" s="93"/>
      <c r="L121" s="95">
        <v>1000</v>
      </c>
      <c r="M121" s="93"/>
      <c r="N121" s="95">
        <v>40000</v>
      </c>
      <c r="O121" s="93"/>
      <c r="P121" s="95">
        <v>23000</v>
      </c>
      <c r="Q121" s="69"/>
      <c r="R121" s="99">
        <v>0</v>
      </c>
    </row>
    <row r="122" spans="1:18" x14ac:dyDescent="0.15">
      <c r="A122" s="88"/>
      <c r="B122" s="88"/>
      <c r="C122" s="52"/>
      <c r="D122" s="52"/>
      <c r="G122" s="69"/>
      <c r="H122" s="96"/>
      <c r="I122" s="96"/>
      <c r="J122" s="69"/>
      <c r="K122" s="96"/>
      <c r="L122" s="96"/>
      <c r="M122" s="96"/>
      <c r="N122" s="96"/>
      <c r="O122" s="96"/>
      <c r="P122" s="96"/>
      <c r="Q122" s="96"/>
      <c r="R122" s="69"/>
    </row>
    <row r="123" spans="1:18" x14ac:dyDescent="0.15">
      <c r="A123" s="88"/>
      <c r="B123" s="88" t="s">
        <v>29</v>
      </c>
      <c r="C123" s="52"/>
      <c r="D123" s="52"/>
      <c r="G123" s="69"/>
      <c r="H123" s="96"/>
      <c r="I123" s="96"/>
      <c r="J123" s="69"/>
      <c r="K123" s="96"/>
      <c r="L123" s="96"/>
      <c r="M123" s="96"/>
      <c r="N123" s="96"/>
      <c r="O123" s="96"/>
      <c r="P123" s="96"/>
      <c r="Q123" s="96"/>
      <c r="R123" s="69"/>
    </row>
    <row r="124" spans="1:18" x14ac:dyDescent="0.15">
      <c r="C124" s="52" t="s">
        <v>39</v>
      </c>
      <c r="D124" s="52"/>
      <c r="E124" s="91"/>
      <c r="F124" s="75">
        <f t="shared" ref="F124:F128" si="4">SUM(H124:L124)</f>
        <v>3565000</v>
      </c>
      <c r="G124" s="92"/>
      <c r="H124" s="90">
        <v>1000</v>
      </c>
      <c r="I124" s="93"/>
      <c r="J124" s="90">
        <v>337000</v>
      </c>
      <c r="K124" s="93"/>
      <c r="L124" s="90">
        <v>3227000</v>
      </c>
      <c r="M124" s="93"/>
      <c r="N124" s="90">
        <v>1974000</v>
      </c>
      <c r="O124" s="93"/>
      <c r="P124" s="90">
        <v>1591000</v>
      </c>
      <c r="Q124" s="93"/>
      <c r="R124" s="90">
        <v>0</v>
      </c>
    </row>
    <row r="125" spans="1:18" x14ac:dyDescent="0.15">
      <c r="C125" s="52" t="s">
        <v>56</v>
      </c>
      <c r="D125" s="52"/>
      <c r="E125" s="91"/>
      <c r="F125" s="75">
        <f t="shared" si="4"/>
        <v>1302000</v>
      </c>
      <c r="G125" s="92"/>
      <c r="H125" s="90">
        <v>79000</v>
      </c>
      <c r="I125" s="93"/>
      <c r="J125" s="90">
        <v>921000</v>
      </c>
      <c r="K125" s="93"/>
      <c r="L125" s="90">
        <v>302000</v>
      </c>
      <c r="M125" s="93"/>
      <c r="N125" s="90">
        <v>649000</v>
      </c>
      <c r="O125" s="93"/>
      <c r="P125" s="90">
        <v>715000</v>
      </c>
      <c r="Q125" s="93"/>
      <c r="R125" s="90">
        <v>62000</v>
      </c>
    </row>
    <row r="126" spans="1:18" x14ac:dyDescent="0.15">
      <c r="C126" s="52" t="s">
        <v>47</v>
      </c>
      <c r="D126" s="52"/>
      <c r="E126" s="91"/>
      <c r="G126" s="92"/>
      <c r="H126" s="90"/>
      <c r="I126" s="93"/>
      <c r="J126" s="90"/>
      <c r="K126" s="93"/>
      <c r="L126" s="90"/>
      <c r="M126" s="93"/>
      <c r="N126" s="90"/>
      <c r="O126" s="93"/>
      <c r="P126" s="90"/>
      <c r="Q126" s="93"/>
      <c r="R126" s="90"/>
    </row>
    <row r="127" spans="1:18" x14ac:dyDescent="0.15">
      <c r="A127" s="52"/>
      <c r="B127" s="52"/>
      <c r="C127" s="88"/>
      <c r="D127" s="88"/>
      <c r="E127" s="52" t="s">
        <v>48</v>
      </c>
      <c r="F127" s="75">
        <f t="shared" si="4"/>
        <v>52000</v>
      </c>
      <c r="G127" s="92"/>
      <c r="H127" s="90">
        <v>112000</v>
      </c>
      <c r="I127" s="93"/>
      <c r="J127" s="90">
        <v>-136000</v>
      </c>
      <c r="K127" s="93"/>
      <c r="L127" s="90">
        <v>76000</v>
      </c>
      <c r="M127" s="93"/>
      <c r="N127" s="90">
        <v>1030000</v>
      </c>
      <c r="O127" s="93"/>
      <c r="P127" s="90">
        <v>1044000</v>
      </c>
      <c r="Q127" s="93"/>
      <c r="R127" s="90">
        <v>2022000</v>
      </c>
    </row>
    <row r="128" spans="1:18" x14ac:dyDescent="0.15">
      <c r="C128" s="52" t="s">
        <v>49</v>
      </c>
      <c r="D128" s="52"/>
      <c r="E128" s="91"/>
      <c r="F128" s="75">
        <f t="shared" si="4"/>
        <v>2340000</v>
      </c>
      <c r="G128" s="92"/>
      <c r="H128" s="90">
        <v>311000</v>
      </c>
      <c r="I128" s="93"/>
      <c r="J128" s="90">
        <v>1982000</v>
      </c>
      <c r="K128" s="93"/>
      <c r="L128" s="90">
        <v>47000</v>
      </c>
      <c r="M128" s="93"/>
      <c r="N128" s="90">
        <v>2409000</v>
      </c>
      <c r="O128" s="93"/>
      <c r="P128" s="90">
        <v>3161000</v>
      </c>
      <c r="Q128" s="93"/>
      <c r="R128" s="90">
        <v>3230000</v>
      </c>
    </row>
    <row r="129" spans="1:18" x14ac:dyDescent="0.15">
      <c r="A129" s="52"/>
      <c r="B129" s="52"/>
      <c r="C129" s="88" t="s">
        <v>61</v>
      </c>
      <c r="D129" s="88"/>
      <c r="F129" s="75">
        <f>SUM(H129:L129)</f>
        <v>-125000</v>
      </c>
      <c r="G129" s="92"/>
      <c r="H129" s="90">
        <v>0</v>
      </c>
      <c r="I129" s="93"/>
      <c r="J129" s="90">
        <v>-125000</v>
      </c>
      <c r="K129" s="93"/>
      <c r="L129" s="90">
        <v>0</v>
      </c>
      <c r="M129" s="93"/>
      <c r="N129" s="90">
        <v>0</v>
      </c>
      <c r="O129" s="93"/>
      <c r="P129" s="90">
        <v>-125000</v>
      </c>
      <c r="Q129" s="93"/>
      <c r="R129" s="90">
        <v>0</v>
      </c>
    </row>
    <row r="130" spans="1:18" x14ac:dyDescent="0.15">
      <c r="C130" s="52" t="s">
        <v>59</v>
      </c>
      <c r="D130" s="52"/>
      <c r="F130" s="94">
        <f>SUM(H130:L130)</f>
        <v>111000</v>
      </c>
      <c r="G130" s="69"/>
      <c r="H130" s="95">
        <v>110000</v>
      </c>
      <c r="I130" s="90"/>
      <c r="J130" s="95">
        <v>1000</v>
      </c>
      <c r="K130" s="90"/>
      <c r="L130" s="95">
        <v>0</v>
      </c>
      <c r="M130" s="90"/>
      <c r="N130" s="95">
        <v>76000</v>
      </c>
      <c r="O130" s="90"/>
      <c r="P130" s="95">
        <v>35000</v>
      </c>
      <c r="Q130" s="90"/>
      <c r="R130" s="95">
        <v>0</v>
      </c>
    </row>
    <row r="131" spans="1:18" x14ac:dyDescent="0.15"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</row>
    <row r="132" spans="1:18" x14ac:dyDescent="0.15">
      <c r="E132" s="52" t="s">
        <v>3</v>
      </c>
      <c r="F132" s="94">
        <f>SUM(H132:L132)</f>
        <v>7245000</v>
      </c>
      <c r="G132" s="69">
        <v>0</v>
      </c>
      <c r="H132" s="94">
        <f>SUM(H124:H131)</f>
        <v>613000</v>
      </c>
      <c r="I132" s="75"/>
      <c r="J132" s="94">
        <f>SUM(J124:J131)</f>
        <v>2980000</v>
      </c>
      <c r="K132" s="75"/>
      <c r="L132" s="94">
        <f>SUM(L124:L131)</f>
        <v>3652000</v>
      </c>
      <c r="M132" s="75"/>
      <c r="N132" s="94">
        <f>SUM(N124:N131)</f>
        <v>6138000</v>
      </c>
      <c r="O132" s="75"/>
      <c r="P132" s="94">
        <f>SUM(P124:P131)</f>
        <v>6421000</v>
      </c>
      <c r="Q132" s="75"/>
      <c r="R132" s="94">
        <f>SUM(R124:R131)</f>
        <v>5314000</v>
      </c>
    </row>
    <row r="133" spans="1:18" x14ac:dyDescent="0.15"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</row>
    <row r="134" spans="1:18" x14ac:dyDescent="0.15">
      <c r="E134" s="52" t="s">
        <v>63</v>
      </c>
      <c r="F134" s="94">
        <f>SUM(H134:L134)</f>
        <v>215400000</v>
      </c>
      <c r="G134" s="69"/>
      <c r="H134" s="94">
        <f>+H101+H119+H121+H132</f>
        <v>70945000</v>
      </c>
      <c r="I134" s="75"/>
      <c r="J134" s="94">
        <f>+J101+J119+J121+J132</f>
        <v>23765000</v>
      </c>
      <c r="K134" s="75"/>
      <c r="L134" s="94">
        <f>+L101+L119+L121+L132</f>
        <v>120690000</v>
      </c>
      <c r="M134" s="75"/>
      <c r="N134" s="94">
        <f>+N101+N119+N121+N132</f>
        <v>117751000</v>
      </c>
      <c r="O134" s="75"/>
      <c r="P134" s="94">
        <f>+P101+P119+P121+P132</f>
        <v>103076000</v>
      </c>
      <c r="Q134" s="75"/>
      <c r="R134" s="94">
        <f>+R101+R119+R121+R132</f>
        <v>5427000</v>
      </c>
    </row>
    <row r="135" spans="1:18" x14ac:dyDescent="0.15"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</row>
    <row r="136" spans="1:18" x14ac:dyDescent="0.15">
      <c r="A136" s="79" t="s">
        <v>64</v>
      </c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</row>
    <row r="137" spans="1:18" x14ac:dyDescent="0.15">
      <c r="A137" s="79"/>
      <c r="B137" s="79" t="s">
        <v>65</v>
      </c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</row>
    <row r="138" spans="1:18" x14ac:dyDescent="0.15"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</row>
    <row r="139" spans="1:18" x14ac:dyDescent="0.15">
      <c r="B139" s="53" t="s">
        <v>13</v>
      </c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</row>
    <row r="140" spans="1:18" x14ac:dyDescent="0.15">
      <c r="C140" s="52" t="s">
        <v>66</v>
      </c>
      <c r="D140" s="52"/>
      <c r="E140" s="91"/>
      <c r="F140" s="75">
        <f>SUM(H140:L140)</f>
        <v>8380000</v>
      </c>
      <c r="G140" s="92"/>
      <c r="H140" s="90">
        <v>6392000</v>
      </c>
      <c r="I140" s="93"/>
      <c r="J140" s="90">
        <v>1092000</v>
      </c>
      <c r="K140" s="93"/>
      <c r="L140" s="90">
        <v>896000</v>
      </c>
      <c r="M140" s="93"/>
      <c r="N140" s="90">
        <v>5355000</v>
      </c>
      <c r="O140" s="93"/>
      <c r="P140" s="90">
        <v>3025000</v>
      </c>
      <c r="Q140" s="93"/>
      <c r="R140" s="90">
        <v>0</v>
      </c>
    </row>
    <row r="141" spans="1:18" x14ac:dyDescent="0.15">
      <c r="C141" s="52" t="s">
        <v>67</v>
      </c>
      <c r="D141" s="52"/>
      <c r="E141" s="91"/>
      <c r="F141" s="75">
        <f>SUM(H141:L141)</f>
        <v>4199000</v>
      </c>
      <c r="G141" s="92"/>
      <c r="H141" s="90">
        <v>3780000</v>
      </c>
      <c r="I141" s="93"/>
      <c r="J141" s="90">
        <v>247000</v>
      </c>
      <c r="K141" s="93"/>
      <c r="L141" s="90">
        <v>172000</v>
      </c>
      <c r="M141" s="93"/>
      <c r="N141" s="90">
        <v>2825000</v>
      </c>
      <c r="O141" s="93"/>
      <c r="P141" s="90">
        <v>1374000</v>
      </c>
      <c r="Q141" s="93"/>
      <c r="R141" s="90">
        <v>0</v>
      </c>
    </row>
    <row r="142" spans="1:18" x14ac:dyDescent="0.15">
      <c r="C142" s="52" t="s">
        <v>39</v>
      </c>
      <c r="D142" s="52"/>
      <c r="E142" s="91"/>
      <c r="F142" s="75">
        <f>SUM(H142:L142)</f>
        <v>5347000</v>
      </c>
      <c r="G142" s="92"/>
      <c r="H142" s="90">
        <v>3053000</v>
      </c>
      <c r="I142" s="93"/>
      <c r="J142" s="90">
        <v>1266000</v>
      </c>
      <c r="K142" s="93"/>
      <c r="L142" s="90">
        <v>1028000</v>
      </c>
      <c r="M142" s="93"/>
      <c r="N142" s="90">
        <v>3163000</v>
      </c>
      <c r="O142" s="93"/>
      <c r="P142" s="90">
        <v>2207000</v>
      </c>
      <c r="Q142" s="93"/>
      <c r="R142" s="90">
        <v>23000</v>
      </c>
    </row>
    <row r="143" spans="1:18" x14ac:dyDescent="0.15">
      <c r="C143" s="52" t="s">
        <v>68</v>
      </c>
      <c r="D143" s="52"/>
      <c r="E143" s="91"/>
      <c r="G143" s="69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</row>
    <row r="144" spans="1:18" x14ac:dyDescent="0.15">
      <c r="C144" s="86"/>
      <c r="D144" s="52"/>
      <c r="E144" s="91" t="s">
        <v>69</v>
      </c>
      <c r="F144" s="94">
        <f>SUM(H144:L144)</f>
        <v>3306000</v>
      </c>
      <c r="G144" s="69"/>
      <c r="H144" s="95">
        <v>2550000</v>
      </c>
      <c r="I144" s="90"/>
      <c r="J144" s="95">
        <v>330000</v>
      </c>
      <c r="K144" s="90"/>
      <c r="L144" s="95">
        <v>426000</v>
      </c>
      <c r="M144" s="90"/>
      <c r="N144" s="95">
        <v>2064000</v>
      </c>
      <c r="O144" s="90"/>
      <c r="P144" s="95">
        <v>1242000</v>
      </c>
      <c r="Q144" s="90"/>
      <c r="R144" s="95">
        <v>0</v>
      </c>
    </row>
    <row r="145" spans="1:18" x14ac:dyDescent="0.15">
      <c r="A145" s="88"/>
      <c r="B145" s="88"/>
      <c r="C145" s="88"/>
      <c r="D145" s="88"/>
      <c r="E145" s="8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</row>
    <row r="146" spans="1:18" x14ac:dyDescent="0.15">
      <c r="E146" s="52" t="s">
        <v>3</v>
      </c>
      <c r="F146" s="94">
        <f>SUM(H146:L146)</f>
        <v>21232000</v>
      </c>
      <c r="G146" s="69"/>
      <c r="H146" s="94">
        <f>SUM(H140:H145)</f>
        <v>15775000</v>
      </c>
      <c r="I146" s="75"/>
      <c r="J146" s="94">
        <f>SUM(J140:J145)</f>
        <v>2935000</v>
      </c>
      <c r="K146" s="75"/>
      <c r="L146" s="94">
        <f>SUM(L140:L145)</f>
        <v>2522000</v>
      </c>
      <c r="M146" s="75"/>
      <c r="N146" s="94">
        <f>SUM(N140:N145)</f>
        <v>13407000</v>
      </c>
      <c r="O146" s="75"/>
      <c r="P146" s="94">
        <f>SUM(P140:P145)</f>
        <v>7848000</v>
      </c>
      <c r="Q146" s="75"/>
      <c r="R146" s="94">
        <f>SUM(R140:R145)</f>
        <v>23000</v>
      </c>
    </row>
    <row r="147" spans="1:18" x14ac:dyDescent="0.15">
      <c r="A147" s="88"/>
      <c r="B147" s="88"/>
      <c r="C147" s="88"/>
      <c r="D147" s="88"/>
      <c r="E147" s="88"/>
      <c r="G147" s="83"/>
      <c r="H147" s="83"/>
      <c r="I147" s="69"/>
      <c r="J147" s="83"/>
      <c r="K147" s="69"/>
      <c r="L147" s="83"/>
      <c r="M147" s="69"/>
      <c r="N147" s="83"/>
      <c r="O147" s="69"/>
      <c r="P147" s="83"/>
      <c r="Q147" s="69"/>
      <c r="R147" s="83"/>
    </row>
    <row r="148" spans="1:18" x14ac:dyDescent="0.15">
      <c r="B148" s="53" t="s">
        <v>24</v>
      </c>
      <c r="G148" s="69"/>
      <c r="H148" s="69"/>
      <c r="I148" s="98"/>
      <c r="J148" s="69"/>
      <c r="K148" s="98"/>
      <c r="L148" s="69"/>
      <c r="M148" s="98"/>
      <c r="N148" s="69"/>
      <c r="O148" s="98"/>
      <c r="P148" s="69"/>
      <c r="Q148" s="98"/>
      <c r="R148" s="69"/>
    </row>
    <row r="149" spans="1:18" x14ac:dyDescent="0.15">
      <c r="C149" s="52" t="s">
        <v>66</v>
      </c>
      <c r="D149" s="52"/>
      <c r="E149" s="91"/>
      <c r="F149" s="75">
        <f>SUM(H149:L149)</f>
        <v>3000</v>
      </c>
      <c r="G149" s="92"/>
      <c r="H149" s="90">
        <v>0</v>
      </c>
      <c r="I149" s="93"/>
      <c r="J149" s="90">
        <v>0</v>
      </c>
      <c r="K149" s="93"/>
      <c r="L149" s="90">
        <v>3000</v>
      </c>
      <c r="M149" s="93"/>
      <c r="N149" s="90">
        <v>1000</v>
      </c>
      <c r="O149" s="93"/>
      <c r="P149" s="90">
        <v>2000</v>
      </c>
      <c r="Q149" s="93"/>
      <c r="R149" s="90">
        <v>0</v>
      </c>
    </row>
    <row r="150" spans="1:18" x14ac:dyDescent="0.15">
      <c r="C150" s="52" t="s">
        <v>67</v>
      </c>
      <c r="D150" s="52"/>
      <c r="E150" s="91"/>
      <c r="F150" s="75">
        <f>SUM(H150:L150)</f>
        <v>81000</v>
      </c>
      <c r="G150" s="92"/>
      <c r="H150" s="90">
        <v>1000</v>
      </c>
      <c r="I150" s="93"/>
      <c r="J150" s="90">
        <v>77000</v>
      </c>
      <c r="K150" s="93"/>
      <c r="L150" s="90">
        <v>3000</v>
      </c>
      <c r="M150" s="93"/>
      <c r="N150" s="90">
        <v>60000</v>
      </c>
      <c r="O150" s="93"/>
      <c r="P150" s="90">
        <v>21000</v>
      </c>
      <c r="Q150" s="93"/>
      <c r="R150" s="90">
        <v>0</v>
      </c>
    </row>
    <row r="151" spans="1:18" x14ac:dyDescent="0.15">
      <c r="C151" s="52" t="s">
        <v>68</v>
      </c>
      <c r="D151" s="52"/>
      <c r="E151" s="91"/>
      <c r="G151" s="69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</row>
    <row r="152" spans="1:18" x14ac:dyDescent="0.15">
      <c r="C152" s="86"/>
      <c r="D152" s="52"/>
      <c r="E152" s="91" t="s">
        <v>69</v>
      </c>
      <c r="F152" s="94">
        <f>SUM(H152:L152)</f>
        <v>2000</v>
      </c>
      <c r="G152" s="69"/>
      <c r="H152" s="95">
        <v>0</v>
      </c>
      <c r="I152" s="90"/>
      <c r="J152" s="95">
        <v>2000</v>
      </c>
      <c r="K152" s="90"/>
      <c r="L152" s="95">
        <v>0</v>
      </c>
      <c r="M152" s="90"/>
      <c r="N152" s="95">
        <v>0</v>
      </c>
      <c r="O152" s="90"/>
      <c r="P152" s="95">
        <v>2000</v>
      </c>
      <c r="Q152" s="90"/>
      <c r="R152" s="95">
        <v>0</v>
      </c>
    </row>
    <row r="153" spans="1:18" x14ac:dyDescent="0.15"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</row>
    <row r="154" spans="1:18" x14ac:dyDescent="0.15">
      <c r="E154" s="52" t="s">
        <v>3</v>
      </c>
      <c r="F154" s="94">
        <f>SUM(H154:L154)</f>
        <v>86000</v>
      </c>
      <c r="G154" s="69"/>
      <c r="H154" s="94">
        <f>SUM(H149:H153)</f>
        <v>1000</v>
      </c>
      <c r="I154" s="75"/>
      <c r="J154" s="94">
        <f>SUM(J149:J153)</f>
        <v>79000</v>
      </c>
      <c r="K154" s="75"/>
      <c r="L154" s="94">
        <f>SUM(L149:L153)</f>
        <v>6000</v>
      </c>
      <c r="M154" s="75"/>
      <c r="N154" s="94">
        <f>SUM(N149:N153)</f>
        <v>61000</v>
      </c>
      <c r="O154" s="75"/>
      <c r="P154" s="94">
        <f>SUM(P149:P153)</f>
        <v>25000</v>
      </c>
      <c r="Q154" s="75"/>
      <c r="R154" s="94">
        <f>SUM(R149:R153)</f>
        <v>0</v>
      </c>
    </row>
    <row r="155" spans="1:18" x14ac:dyDescent="0.15">
      <c r="G155" s="69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</row>
    <row r="156" spans="1:18" x14ac:dyDescent="0.15">
      <c r="A156" s="88"/>
      <c r="B156" s="52" t="s">
        <v>29</v>
      </c>
      <c r="C156" s="52"/>
      <c r="D156" s="52"/>
      <c r="F156" s="94">
        <f>SUM(H156:L156)</f>
        <v>209000</v>
      </c>
      <c r="G156" s="69"/>
      <c r="H156" s="95">
        <v>0</v>
      </c>
      <c r="I156" s="90"/>
      <c r="J156" s="95">
        <v>208000</v>
      </c>
      <c r="K156" s="90"/>
      <c r="L156" s="95">
        <v>1000</v>
      </c>
      <c r="M156" s="90"/>
      <c r="N156" s="95">
        <v>139000</v>
      </c>
      <c r="O156" s="90"/>
      <c r="P156" s="95">
        <v>70000</v>
      </c>
      <c r="Q156" s="90"/>
      <c r="R156" s="95">
        <v>0</v>
      </c>
    </row>
    <row r="157" spans="1:18" x14ac:dyDescent="0.15">
      <c r="G157" s="69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</row>
    <row r="158" spans="1:18" x14ac:dyDescent="0.15">
      <c r="E158" s="52" t="s">
        <v>70</v>
      </c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</row>
    <row r="159" spans="1:18" x14ac:dyDescent="0.15">
      <c r="E159" s="52" t="s">
        <v>71</v>
      </c>
      <c r="F159" s="94">
        <f>SUM(H159:L159)</f>
        <v>21527000</v>
      </c>
      <c r="G159" s="69"/>
      <c r="H159" s="94">
        <f>+H146+H154+H156</f>
        <v>15776000</v>
      </c>
      <c r="I159" s="69"/>
      <c r="J159" s="94">
        <f>+J146+J154+J156</f>
        <v>3222000</v>
      </c>
      <c r="K159" s="69"/>
      <c r="L159" s="94">
        <f>+L146+L154+L156</f>
        <v>2529000</v>
      </c>
      <c r="M159" s="69"/>
      <c r="N159" s="94">
        <f>+N146+N154+N156</f>
        <v>13607000</v>
      </c>
      <c r="O159" s="69"/>
      <c r="P159" s="94">
        <f>+P146+P154+P156</f>
        <v>7943000</v>
      </c>
      <c r="Q159" s="69"/>
      <c r="R159" s="94">
        <f>+R146+R154+R156</f>
        <v>23000</v>
      </c>
    </row>
    <row r="160" spans="1:18" x14ac:dyDescent="0.15">
      <c r="G160" s="69"/>
      <c r="H160" s="75"/>
      <c r="I160" s="69"/>
      <c r="J160" s="75"/>
      <c r="K160" s="69"/>
      <c r="L160" s="75"/>
      <c r="M160" s="69"/>
      <c r="N160" s="75"/>
      <c r="O160" s="69"/>
      <c r="P160" s="75"/>
      <c r="Q160" s="69"/>
      <c r="R160" s="75"/>
    </row>
    <row r="161" spans="1:18" x14ac:dyDescent="0.15">
      <c r="A161" s="79" t="s">
        <v>72</v>
      </c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</row>
    <row r="162" spans="1:18" x14ac:dyDescent="0.15">
      <c r="A162" s="79"/>
      <c r="B162" s="79" t="s">
        <v>73</v>
      </c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</row>
    <row r="163" spans="1:18" x14ac:dyDescent="0.15"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</row>
    <row r="164" spans="1:18" x14ac:dyDescent="0.15">
      <c r="B164" s="53" t="s">
        <v>13</v>
      </c>
      <c r="C164" s="52"/>
      <c r="D164" s="52"/>
      <c r="E164" s="91"/>
      <c r="F164" s="94">
        <f>SUM(H164:L164)</f>
        <v>7714000</v>
      </c>
      <c r="G164" s="69"/>
      <c r="H164" s="95">
        <v>4746000</v>
      </c>
      <c r="I164" s="90"/>
      <c r="J164" s="95">
        <v>593000</v>
      </c>
      <c r="K164" s="90"/>
      <c r="L164" s="95">
        <v>2375000</v>
      </c>
      <c r="M164" s="90"/>
      <c r="N164" s="95">
        <v>4510000</v>
      </c>
      <c r="O164" s="90"/>
      <c r="P164" s="95">
        <v>3204000</v>
      </c>
      <c r="Q164" s="90"/>
      <c r="R164" s="95">
        <v>0</v>
      </c>
    </row>
    <row r="165" spans="1:18" x14ac:dyDescent="0.15"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</row>
    <row r="166" spans="1:18" x14ac:dyDescent="0.15">
      <c r="B166" s="53" t="s">
        <v>24</v>
      </c>
      <c r="F166" s="94">
        <f>SUM(H166:L166)</f>
        <v>140000</v>
      </c>
      <c r="G166" s="69"/>
      <c r="H166" s="95">
        <v>0</v>
      </c>
      <c r="I166" s="90"/>
      <c r="J166" s="95">
        <v>0</v>
      </c>
      <c r="K166" s="90"/>
      <c r="L166" s="95">
        <v>140000</v>
      </c>
      <c r="M166" s="90"/>
      <c r="N166" s="95">
        <v>108000</v>
      </c>
      <c r="O166" s="90"/>
      <c r="P166" s="95">
        <v>32000</v>
      </c>
      <c r="Q166" s="90"/>
      <c r="R166" s="95">
        <v>0</v>
      </c>
    </row>
    <row r="167" spans="1:18" x14ac:dyDescent="0.15"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</row>
    <row r="168" spans="1:18" x14ac:dyDescent="0.15">
      <c r="A168" s="88"/>
      <c r="B168" s="88" t="s">
        <v>28</v>
      </c>
      <c r="C168" s="52"/>
      <c r="D168" s="52"/>
      <c r="F168" s="94">
        <f>SUM(H168:L168)</f>
        <v>174000</v>
      </c>
      <c r="G168" s="69"/>
      <c r="H168" s="95">
        <v>5000</v>
      </c>
      <c r="I168" s="90"/>
      <c r="J168" s="95">
        <v>0</v>
      </c>
      <c r="K168" s="90"/>
      <c r="L168" s="95">
        <v>169000</v>
      </c>
      <c r="M168" s="90"/>
      <c r="N168" s="95">
        <v>122000</v>
      </c>
      <c r="O168" s="90"/>
      <c r="P168" s="95">
        <v>52000</v>
      </c>
      <c r="Q168" s="90"/>
      <c r="R168" s="95">
        <v>0</v>
      </c>
    </row>
    <row r="169" spans="1:18" x14ac:dyDescent="0.15">
      <c r="A169" s="88"/>
      <c r="B169" s="88"/>
      <c r="C169" s="52"/>
      <c r="D169" s="52"/>
      <c r="G169" s="69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</row>
    <row r="170" spans="1:18" x14ac:dyDescent="0.15">
      <c r="B170" s="53" t="s">
        <v>29</v>
      </c>
      <c r="F170" s="94">
        <f>SUM(H170:L170)</f>
        <v>12000</v>
      </c>
      <c r="G170" s="69"/>
      <c r="H170" s="95">
        <v>0</v>
      </c>
      <c r="I170" s="90"/>
      <c r="J170" s="95">
        <v>0</v>
      </c>
      <c r="K170" s="90"/>
      <c r="L170" s="95">
        <v>12000</v>
      </c>
      <c r="M170" s="90"/>
      <c r="N170" s="95">
        <v>6000</v>
      </c>
      <c r="O170" s="90"/>
      <c r="P170" s="95">
        <v>6000</v>
      </c>
      <c r="Q170" s="90"/>
      <c r="R170" s="95">
        <v>0</v>
      </c>
    </row>
    <row r="171" spans="1:18" x14ac:dyDescent="0.15">
      <c r="G171" s="69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0"/>
    </row>
    <row r="172" spans="1:18" x14ac:dyDescent="0.15">
      <c r="B172" s="79"/>
      <c r="E172" s="52" t="s">
        <v>74</v>
      </c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</row>
    <row r="173" spans="1:18" x14ac:dyDescent="0.15">
      <c r="B173" s="79"/>
      <c r="E173" s="52" t="s">
        <v>75</v>
      </c>
      <c r="F173" s="94">
        <f>SUM(H173:L173)</f>
        <v>8040000</v>
      </c>
      <c r="G173" s="69"/>
      <c r="H173" s="94">
        <f>+H164+H166+H170+H168</f>
        <v>4751000</v>
      </c>
      <c r="I173" s="75"/>
      <c r="J173" s="94">
        <f>+J164+J166+J170+J168</f>
        <v>593000</v>
      </c>
      <c r="K173" s="75"/>
      <c r="L173" s="94">
        <f>+L164+L166+L170+L168</f>
        <v>2696000</v>
      </c>
      <c r="M173" s="75"/>
      <c r="N173" s="94">
        <f>+N164+N166+N170+N168</f>
        <v>4746000</v>
      </c>
      <c r="O173" s="75"/>
      <c r="P173" s="94">
        <f>+P164+P166+P170+P168</f>
        <v>3294000</v>
      </c>
      <c r="Q173" s="75"/>
      <c r="R173" s="94">
        <f>+R164+R166+R170+R168</f>
        <v>0</v>
      </c>
    </row>
    <row r="174" spans="1:18" x14ac:dyDescent="0.15">
      <c r="B174" s="79"/>
      <c r="G174" s="69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</row>
    <row r="175" spans="1:18" x14ac:dyDescent="0.15">
      <c r="A175" s="79" t="s">
        <v>76</v>
      </c>
      <c r="B175" s="79"/>
      <c r="F175" s="52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</row>
    <row r="176" spans="1:18" x14ac:dyDescent="0.15">
      <c r="B176" s="79"/>
      <c r="C176" s="79"/>
      <c r="E176" s="53"/>
      <c r="F176" s="52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</row>
    <row r="177" spans="1:18" x14ac:dyDescent="0.15">
      <c r="B177" s="53" t="s">
        <v>13</v>
      </c>
      <c r="F177" s="94">
        <f>SUM(H177:L177)</f>
        <v>30616000</v>
      </c>
      <c r="G177" s="69"/>
      <c r="H177" s="95">
        <v>19246000</v>
      </c>
      <c r="I177" s="90"/>
      <c r="J177" s="95">
        <v>9355000</v>
      </c>
      <c r="K177" s="90"/>
      <c r="L177" s="95">
        <v>2015000</v>
      </c>
      <c r="M177" s="90"/>
      <c r="N177" s="95">
        <v>22639000</v>
      </c>
      <c r="O177" s="90"/>
      <c r="P177" s="95">
        <v>7977000</v>
      </c>
      <c r="Q177" s="90"/>
      <c r="R177" s="95">
        <v>0</v>
      </c>
    </row>
    <row r="178" spans="1:18" x14ac:dyDescent="0.15"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</row>
    <row r="179" spans="1:18" x14ac:dyDescent="0.15">
      <c r="B179" s="53" t="s">
        <v>24</v>
      </c>
      <c r="F179" s="94">
        <f>SUM(H179:L179)</f>
        <v>10407000</v>
      </c>
      <c r="G179" s="69"/>
      <c r="H179" s="95">
        <v>164000</v>
      </c>
      <c r="I179" s="90"/>
      <c r="J179" s="95">
        <v>1754000</v>
      </c>
      <c r="K179" s="90"/>
      <c r="L179" s="95">
        <v>8489000</v>
      </c>
      <c r="M179" s="90"/>
      <c r="N179" s="95">
        <v>6848000</v>
      </c>
      <c r="O179" s="90"/>
      <c r="P179" s="95">
        <v>3559000</v>
      </c>
      <c r="Q179" s="90"/>
      <c r="R179" s="95">
        <v>0</v>
      </c>
    </row>
    <row r="181" spans="1:18" x14ac:dyDescent="0.15">
      <c r="B181" s="53" t="s">
        <v>29</v>
      </c>
      <c r="F181" s="94">
        <f>SUM(H181:L181)</f>
        <v>15477000</v>
      </c>
      <c r="G181" s="69"/>
      <c r="H181" s="95">
        <v>1250000</v>
      </c>
      <c r="I181" s="90"/>
      <c r="J181" s="95">
        <v>13391000</v>
      </c>
      <c r="K181" s="90"/>
      <c r="L181" s="95">
        <v>836000</v>
      </c>
      <c r="M181" s="90"/>
      <c r="N181" s="95">
        <v>8284000</v>
      </c>
      <c r="O181" s="90"/>
      <c r="P181" s="95">
        <v>7198000</v>
      </c>
      <c r="Q181" s="90"/>
      <c r="R181" s="95">
        <v>5000</v>
      </c>
    </row>
    <row r="182" spans="1:18" x14ac:dyDescent="0.15"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</row>
    <row r="183" spans="1:18" x14ac:dyDescent="0.15">
      <c r="E183" s="52" t="s">
        <v>77</v>
      </c>
      <c r="F183" s="94">
        <f>SUM(H183:L183)</f>
        <v>56500000</v>
      </c>
      <c r="G183" s="69"/>
      <c r="H183" s="94">
        <f>+H177+H179+H181</f>
        <v>20660000</v>
      </c>
      <c r="I183" s="75"/>
      <c r="J183" s="94">
        <f>+J177+J179+J181</f>
        <v>24500000</v>
      </c>
      <c r="K183" s="75"/>
      <c r="L183" s="94">
        <f>+L177+L179+L181</f>
        <v>11340000</v>
      </c>
      <c r="M183" s="75"/>
      <c r="N183" s="94">
        <f>+N177+N179+N181</f>
        <v>37771000</v>
      </c>
      <c r="O183" s="75"/>
      <c r="P183" s="94">
        <f>+P177+P179+P181</f>
        <v>18734000</v>
      </c>
      <c r="Q183" s="75"/>
      <c r="R183" s="94">
        <f>+R177+R179+R181</f>
        <v>5000</v>
      </c>
    </row>
    <row r="184" spans="1:18" x14ac:dyDescent="0.15"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</row>
    <row r="185" spans="1:18" x14ac:dyDescent="0.15">
      <c r="A185" s="79" t="s">
        <v>78</v>
      </c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</row>
    <row r="186" spans="1:18" x14ac:dyDescent="0.15"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</row>
    <row r="187" spans="1:18" x14ac:dyDescent="0.15">
      <c r="B187" s="53" t="s">
        <v>13</v>
      </c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</row>
    <row r="188" spans="1:18" x14ac:dyDescent="0.15">
      <c r="C188" s="52" t="s">
        <v>79</v>
      </c>
      <c r="D188" s="52"/>
      <c r="E188" s="91"/>
      <c r="F188" s="75">
        <f>SUM(H188:L188)</f>
        <v>2733000</v>
      </c>
      <c r="G188" s="92"/>
      <c r="H188" s="90">
        <v>2609000</v>
      </c>
      <c r="I188" s="93"/>
      <c r="J188" s="90">
        <v>79000</v>
      </c>
      <c r="K188" s="93"/>
      <c r="L188" s="90">
        <v>45000</v>
      </c>
      <c r="M188" s="93"/>
      <c r="N188" s="90">
        <v>1817000</v>
      </c>
      <c r="O188" s="93"/>
      <c r="P188" s="90">
        <v>916000</v>
      </c>
      <c r="Q188" s="93"/>
      <c r="R188" s="90">
        <v>0</v>
      </c>
    </row>
    <row r="189" spans="1:18" x14ac:dyDescent="0.15">
      <c r="C189" s="52" t="s">
        <v>80</v>
      </c>
      <c r="D189" s="52"/>
      <c r="E189" s="91"/>
      <c r="G189" s="69"/>
      <c r="H189" s="90"/>
      <c r="I189" s="90"/>
      <c r="J189" s="90"/>
      <c r="K189" s="90"/>
      <c r="L189" s="90"/>
      <c r="M189" s="90"/>
      <c r="N189" s="90"/>
      <c r="O189" s="90"/>
      <c r="P189" s="90"/>
      <c r="Q189" s="90"/>
      <c r="R189" s="90"/>
    </row>
    <row r="190" spans="1:18" x14ac:dyDescent="0.15">
      <c r="C190" s="52"/>
      <c r="D190" s="52"/>
      <c r="E190" s="91" t="s">
        <v>81</v>
      </c>
      <c r="F190" s="75">
        <f t="shared" ref="F190:F204" si="5">SUM(H190:L190)</f>
        <v>65000</v>
      </c>
      <c r="G190" s="92"/>
      <c r="H190" s="90">
        <v>3000</v>
      </c>
      <c r="I190" s="93"/>
      <c r="J190" s="90">
        <v>0</v>
      </c>
      <c r="K190" s="93"/>
      <c r="L190" s="90">
        <v>62000</v>
      </c>
      <c r="M190" s="93"/>
      <c r="N190" s="90">
        <v>26000</v>
      </c>
      <c r="O190" s="93"/>
      <c r="P190" s="90">
        <v>39000</v>
      </c>
      <c r="Q190" s="93"/>
      <c r="R190" s="90">
        <v>0</v>
      </c>
    </row>
    <row r="191" spans="1:18" x14ac:dyDescent="0.15">
      <c r="A191" s="86"/>
      <c r="B191" s="86"/>
      <c r="C191" s="52" t="s">
        <v>82</v>
      </c>
      <c r="D191" s="52"/>
      <c r="E191" s="91"/>
      <c r="F191" s="75">
        <f t="shared" si="5"/>
        <v>7604000</v>
      </c>
      <c r="G191" s="92"/>
      <c r="H191" s="90">
        <v>6722000</v>
      </c>
      <c r="I191" s="93"/>
      <c r="J191" s="90">
        <v>399000</v>
      </c>
      <c r="K191" s="93"/>
      <c r="L191" s="90">
        <v>483000</v>
      </c>
      <c r="M191" s="93"/>
      <c r="N191" s="90">
        <v>4794000</v>
      </c>
      <c r="O191" s="93"/>
      <c r="P191" s="90">
        <v>2810000</v>
      </c>
      <c r="Q191" s="93"/>
      <c r="R191" s="90">
        <v>0</v>
      </c>
    </row>
    <row r="192" spans="1:18" x14ac:dyDescent="0.15">
      <c r="A192" s="86"/>
      <c r="B192" s="86"/>
      <c r="C192" s="52" t="s">
        <v>83</v>
      </c>
      <c r="D192" s="52"/>
      <c r="E192" s="91"/>
      <c r="F192" s="75">
        <f t="shared" si="5"/>
        <v>444000</v>
      </c>
      <c r="G192" s="92"/>
      <c r="H192" s="90">
        <v>262000</v>
      </c>
      <c r="I192" s="93"/>
      <c r="J192" s="90">
        <v>134000</v>
      </c>
      <c r="K192" s="93"/>
      <c r="L192" s="90">
        <v>48000</v>
      </c>
      <c r="M192" s="93"/>
      <c r="N192" s="90">
        <v>143000</v>
      </c>
      <c r="O192" s="93"/>
      <c r="P192" s="90">
        <v>301000</v>
      </c>
      <c r="Q192" s="93"/>
      <c r="R192" s="90">
        <v>0</v>
      </c>
    </row>
    <row r="193" spans="1:18" x14ac:dyDescent="0.15">
      <c r="A193" s="86"/>
      <c r="B193" s="86"/>
      <c r="C193" s="52" t="s">
        <v>84</v>
      </c>
      <c r="D193" s="52"/>
      <c r="E193" s="91"/>
      <c r="F193" s="75">
        <f t="shared" si="5"/>
        <v>4485000</v>
      </c>
      <c r="G193" s="92"/>
      <c r="H193" s="90">
        <v>3685000</v>
      </c>
      <c r="I193" s="93"/>
      <c r="J193" s="90">
        <v>452000</v>
      </c>
      <c r="K193" s="93"/>
      <c r="L193" s="90">
        <v>348000</v>
      </c>
      <c r="M193" s="93"/>
      <c r="N193" s="90">
        <v>2867000</v>
      </c>
      <c r="O193" s="93"/>
      <c r="P193" s="90">
        <v>1618000</v>
      </c>
      <c r="Q193" s="93"/>
      <c r="R193" s="90">
        <v>0</v>
      </c>
    </row>
    <row r="194" spans="1:18" x14ac:dyDescent="0.15">
      <c r="A194" s="86"/>
      <c r="B194" s="86"/>
      <c r="C194" s="52" t="s">
        <v>85</v>
      </c>
      <c r="D194" s="52"/>
      <c r="E194" s="91"/>
      <c r="F194" s="75">
        <f t="shared" si="5"/>
        <v>2465000</v>
      </c>
      <c r="G194" s="92"/>
      <c r="H194" s="90">
        <v>2043000</v>
      </c>
      <c r="I194" s="93"/>
      <c r="J194" s="90">
        <v>266000</v>
      </c>
      <c r="K194" s="93"/>
      <c r="L194" s="90">
        <v>156000</v>
      </c>
      <c r="M194" s="93"/>
      <c r="N194" s="90">
        <v>1571000</v>
      </c>
      <c r="O194" s="93"/>
      <c r="P194" s="90">
        <v>894000</v>
      </c>
      <c r="Q194" s="93"/>
      <c r="R194" s="90">
        <v>0</v>
      </c>
    </row>
    <row r="195" spans="1:18" x14ac:dyDescent="0.15">
      <c r="A195" s="86"/>
      <c r="B195" s="86"/>
      <c r="C195" s="52" t="s">
        <v>86</v>
      </c>
      <c r="D195" s="52"/>
      <c r="E195" s="91"/>
      <c r="F195" s="75">
        <f t="shared" si="5"/>
        <v>4129000</v>
      </c>
      <c r="G195" s="92"/>
      <c r="H195" s="90">
        <v>3253000</v>
      </c>
      <c r="I195" s="93"/>
      <c r="J195" s="90">
        <v>567000</v>
      </c>
      <c r="K195" s="93"/>
      <c r="L195" s="90">
        <v>309000</v>
      </c>
      <c r="M195" s="93"/>
      <c r="N195" s="90">
        <v>2752000</v>
      </c>
      <c r="O195" s="93"/>
      <c r="P195" s="90">
        <v>1377000</v>
      </c>
      <c r="Q195" s="93"/>
      <c r="R195" s="90">
        <v>0</v>
      </c>
    </row>
    <row r="196" spans="1:18" x14ac:dyDescent="0.15">
      <c r="A196" s="86"/>
      <c r="B196" s="86"/>
      <c r="C196" s="52" t="s">
        <v>87</v>
      </c>
      <c r="D196" s="52"/>
      <c r="E196" s="91"/>
      <c r="F196" s="75">
        <f t="shared" si="5"/>
        <v>695000</v>
      </c>
      <c r="G196" s="92"/>
      <c r="H196" s="90">
        <v>525000</v>
      </c>
      <c r="I196" s="93"/>
      <c r="J196" s="90">
        <v>52000</v>
      </c>
      <c r="K196" s="93"/>
      <c r="L196" s="90">
        <v>118000</v>
      </c>
      <c r="M196" s="93"/>
      <c r="N196" s="90">
        <v>297000</v>
      </c>
      <c r="O196" s="93"/>
      <c r="P196" s="90">
        <v>398000</v>
      </c>
      <c r="Q196" s="93"/>
      <c r="R196" s="90">
        <v>0</v>
      </c>
    </row>
    <row r="197" spans="1:18" x14ac:dyDescent="0.15">
      <c r="A197" s="86"/>
      <c r="B197" s="86"/>
      <c r="C197" s="52" t="s">
        <v>88</v>
      </c>
      <c r="D197" s="52"/>
      <c r="E197" s="91"/>
      <c r="F197" s="75">
        <f t="shared" si="5"/>
        <v>3412000</v>
      </c>
      <c r="G197" s="92"/>
      <c r="H197" s="90">
        <v>3247000</v>
      </c>
      <c r="I197" s="93"/>
      <c r="J197" s="90">
        <v>165000</v>
      </c>
      <c r="K197" s="93"/>
      <c r="L197" s="90">
        <v>0</v>
      </c>
      <c r="M197" s="93"/>
      <c r="N197" s="90">
        <v>2243000</v>
      </c>
      <c r="O197" s="93"/>
      <c r="P197" s="90">
        <v>1169000</v>
      </c>
      <c r="Q197" s="93"/>
      <c r="R197" s="90">
        <v>0</v>
      </c>
    </row>
    <row r="198" spans="1:18" x14ac:dyDescent="0.15">
      <c r="A198" s="86"/>
      <c r="B198" s="86"/>
      <c r="C198" s="52" t="s">
        <v>89</v>
      </c>
      <c r="D198" s="52"/>
      <c r="E198" s="91"/>
      <c r="F198" s="75">
        <f t="shared" si="5"/>
        <v>404000</v>
      </c>
      <c r="G198" s="92"/>
      <c r="H198" s="90">
        <v>395000</v>
      </c>
      <c r="I198" s="93"/>
      <c r="J198" s="90">
        <v>0</v>
      </c>
      <c r="K198" s="93"/>
      <c r="L198" s="90">
        <v>9000</v>
      </c>
      <c r="M198" s="93"/>
      <c r="N198" s="90">
        <v>299000</v>
      </c>
      <c r="O198" s="93"/>
      <c r="P198" s="90">
        <v>105000</v>
      </c>
      <c r="Q198" s="93"/>
      <c r="R198" s="90">
        <v>0</v>
      </c>
    </row>
    <row r="199" spans="1:18" x14ac:dyDescent="0.15">
      <c r="A199" s="86"/>
      <c r="B199" s="86"/>
      <c r="C199" s="52" t="s">
        <v>90</v>
      </c>
      <c r="D199" s="52"/>
      <c r="E199" s="91"/>
      <c r="G199" s="69"/>
      <c r="I199" s="90"/>
      <c r="J199" s="90"/>
      <c r="K199" s="90"/>
      <c r="L199" s="90"/>
      <c r="M199" s="90"/>
      <c r="N199" s="90"/>
      <c r="O199" s="90"/>
      <c r="P199" s="90"/>
      <c r="Q199" s="90"/>
      <c r="R199" s="90"/>
    </row>
    <row r="200" spans="1:18" x14ac:dyDescent="0.15">
      <c r="A200" s="86"/>
      <c r="B200" s="86"/>
      <c r="C200" s="52" t="s">
        <v>22</v>
      </c>
      <c r="D200" s="52" t="s">
        <v>22</v>
      </c>
      <c r="E200" s="91" t="s">
        <v>91</v>
      </c>
      <c r="F200" s="75">
        <f t="shared" ref="F200" si="6">SUM(H200:L200)</f>
        <v>25000</v>
      </c>
      <c r="G200" s="92"/>
      <c r="H200" s="90">
        <v>1000</v>
      </c>
      <c r="I200" s="93"/>
      <c r="J200" s="90">
        <v>4000</v>
      </c>
      <c r="K200" s="93"/>
      <c r="L200" s="90">
        <v>20000</v>
      </c>
      <c r="M200" s="93"/>
      <c r="N200" s="90">
        <v>15000</v>
      </c>
      <c r="O200" s="93"/>
      <c r="P200" s="90">
        <v>10000</v>
      </c>
      <c r="Q200" s="93"/>
      <c r="R200" s="90">
        <v>0</v>
      </c>
    </row>
    <row r="201" spans="1:18" x14ac:dyDescent="0.15">
      <c r="A201" s="86"/>
      <c r="B201" s="86"/>
      <c r="C201" s="52" t="s">
        <v>92</v>
      </c>
      <c r="D201" s="52"/>
      <c r="E201" s="91"/>
      <c r="F201" s="75">
        <f>SUM(H201:L201)</f>
        <v>12000</v>
      </c>
      <c r="G201" s="92"/>
      <c r="H201" s="90">
        <v>-31000</v>
      </c>
      <c r="I201" s="93"/>
      <c r="J201" s="90">
        <v>31000</v>
      </c>
      <c r="K201" s="93"/>
      <c r="L201" s="90">
        <v>12000</v>
      </c>
      <c r="M201" s="93"/>
      <c r="N201" s="90">
        <v>0</v>
      </c>
      <c r="O201" s="93"/>
      <c r="P201" s="90">
        <v>12000</v>
      </c>
      <c r="Q201" s="93"/>
      <c r="R201" s="90">
        <v>0</v>
      </c>
    </row>
    <row r="202" spans="1:18" x14ac:dyDescent="0.15">
      <c r="A202" s="86"/>
      <c r="B202" s="86"/>
      <c r="C202" s="52" t="s">
        <v>93</v>
      </c>
      <c r="D202" s="52"/>
      <c r="E202" s="91"/>
      <c r="F202" s="75">
        <f t="shared" si="5"/>
        <v>3274000</v>
      </c>
      <c r="G202" s="92"/>
      <c r="H202" s="90">
        <v>2643000</v>
      </c>
      <c r="I202" s="93"/>
      <c r="J202" s="90">
        <v>201000</v>
      </c>
      <c r="K202" s="93"/>
      <c r="L202" s="90">
        <v>430000</v>
      </c>
      <c r="M202" s="93"/>
      <c r="N202" s="90">
        <v>2119000</v>
      </c>
      <c r="O202" s="93"/>
      <c r="P202" s="90">
        <v>1155000</v>
      </c>
      <c r="Q202" s="93"/>
      <c r="R202" s="90">
        <v>0</v>
      </c>
    </row>
    <row r="203" spans="1:18" x14ac:dyDescent="0.15">
      <c r="A203" s="86"/>
      <c r="B203" s="86"/>
      <c r="C203" s="52" t="s">
        <v>94</v>
      </c>
      <c r="D203" s="52"/>
      <c r="E203" s="91"/>
      <c r="F203" s="75">
        <f t="shared" si="5"/>
        <v>2755000</v>
      </c>
      <c r="G203" s="92"/>
      <c r="H203" s="90">
        <v>1937000</v>
      </c>
      <c r="I203" s="93"/>
      <c r="J203" s="90">
        <v>807000</v>
      </c>
      <c r="K203" s="93"/>
      <c r="L203" s="90">
        <v>11000</v>
      </c>
      <c r="M203" s="93"/>
      <c r="N203" s="90">
        <v>1941000</v>
      </c>
      <c r="O203" s="93"/>
      <c r="P203" s="90">
        <v>814000</v>
      </c>
      <c r="Q203" s="93"/>
      <c r="R203" s="90">
        <v>0</v>
      </c>
    </row>
    <row r="204" spans="1:18" x14ac:dyDescent="0.15">
      <c r="A204" s="86"/>
      <c r="B204" s="86"/>
      <c r="C204" s="52" t="s">
        <v>95</v>
      </c>
      <c r="D204" s="52"/>
      <c r="E204" s="91"/>
      <c r="F204" s="75">
        <f t="shared" si="5"/>
        <v>3235000</v>
      </c>
      <c r="G204" s="92"/>
      <c r="H204" s="90">
        <v>2911000</v>
      </c>
      <c r="I204" s="93"/>
      <c r="J204" s="90">
        <v>214000</v>
      </c>
      <c r="K204" s="93"/>
      <c r="L204" s="90">
        <v>110000</v>
      </c>
      <c r="M204" s="93"/>
      <c r="N204" s="90">
        <v>2214000</v>
      </c>
      <c r="O204" s="93"/>
      <c r="P204" s="90">
        <v>1021000</v>
      </c>
      <c r="Q204" s="93"/>
      <c r="R204" s="90">
        <v>0</v>
      </c>
    </row>
    <row r="205" spans="1:18" x14ac:dyDescent="0.15">
      <c r="A205" s="86"/>
      <c r="B205" s="86"/>
      <c r="C205" s="52" t="s">
        <v>96</v>
      </c>
      <c r="D205" s="52"/>
      <c r="E205" s="91"/>
      <c r="G205" s="69"/>
      <c r="I205" s="90"/>
      <c r="J205" s="90"/>
      <c r="K205" s="90"/>
      <c r="L205" s="90"/>
      <c r="M205" s="90"/>
      <c r="N205" s="90"/>
      <c r="O205" s="90"/>
      <c r="P205" s="90"/>
      <c r="Q205" s="90"/>
      <c r="R205" s="90"/>
    </row>
    <row r="206" spans="1:18" x14ac:dyDescent="0.15">
      <c r="A206" s="86"/>
      <c r="B206" s="86"/>
      <c r="C206" s="52" t="s">
        <v>22</v>
      </c>
      <c r="D206" s="52" t="s">
        <v>22</v>
      </c>
      <c r="E206" s="91" t="s">
        <v>97</v>
      </c>
      <c r="F206" s="75">
        <f t="shared" ref="F206:F219" si="7">SUM(H206:L206)</f>
        <v>506000</v>
      </c>
      <c r="G206" s="92"/>
      <c r="H206" s="90">
        <v>480000</v>
      </c>
      <c r="I206" s="93"/>
      <c r="J206" s="90">
        <v>25000</v>
      </c>
      <c r="K206" s="93"/>
      <c r="L206" s="90">
        <v>1000</v>
      </c>
      <c r="M206" s="93"/>
      <c r="N206" s="90">
        <v>333000</v>
      </c>
      <c r="O206" s="93"/>
      <c r="P206" s="90">
        <v>173000</v>
      </c>
      <c r="Q206" s="93"/>
      <c r="R206" s="90">
        <v>0</v>
      </c>
    </row>
    <row r="207" spans="1:18" x14ac:dyDescent="0.15">
      <c r="A207" s="86"/>
      <c r="B207" s="86"/>
      <c r="C207" s="52" t="s">
        <v>39</v>
      </c>
      <c r="D207" s="52"/>
      <c r="E207" s="91"/>
      <c r="F207" s="75">
        <f t="shared" si="7"/>
        <v>7815000</v>
      </c>
      <c r="G207" s="92"/>
      <c r="H207" s="90">
        <v>4928000</v>
      </c>
      <c r="I207" s="93"/>
      <c r="J207" s="90">
        <v>1959000</v>
      </c>
      <c r="K207" s="93"/>
      <c r="L207" s="90">
        <v>928000</v>
      </c>
      <c r="M207" s="93"/>
      <c r="N207" s="90">
        <v>5207000</v>
      </c>
      <c r="O207" s="93"/>
      <c r="P207" s="90">
        <v>2608000</v>
      </c>
      <c r="Q207" s="93"/>
      <c r="R207" s="90">
        <v>0</v>
      </c>
    </row>
    <row r="208" spans="1:18" x14ac:dyDescent="0.15">
      <c r="A208" s="86"/>
      <c r="B208" s="86"/>
      <c r="C208" s="52" t="s">
        <v>98</v>
      </c>
      <c r="D208" s="52"/>
      <c r="E208" s="91"/>
      <c r="F208" s="75">
        <f t="shared" si="7"/>
        <v>1031000</v>
      </c>
      <c r="G208" s="92"/>
      <c r="H208" s="90">
        <v>938000</v>
      </c>
      <c r="I208" s="93"/>
      <c r="J208" s="90">
        <v>75000</v>
      </c>
      <c r="K208" s="93"/>
      <c r="L208" s="90">
        <v>18000</v>
      </c>
      <c r="M208" s="93"/>
      <c r="N208" s="90">
        <v>658000</v>
      </c>
      <c r="O208" s="93"/>
      <c r="P208" s="90">
        <v>373000</v>
      </c>
      <c r="Q208" s="93"/>
      <c r="R208" s="90">
        <v>0</v>
      </c>
    </row>
    <row r="209" spans="1:18" x14ac:dyDescent="0.15">
      <c r="A209" s="86"/>
      <c r="B209" s="86"/>
      <c r="C209" s="52" t="s">
        <v>100</v>
      </c>
      <c r="D209" s="52"/>
      <c r="E209" s="91"/>
      <c r="F209" s="75">
        <f t="shared" si="7"/>
        <v>4108000</v>
      </c>
      <c r="G209" s="92"/>
      <c r="H209" s="90">
        <v>3407000</v>
      </c>
      <c r="I209" s="93"/>
      <c r="J209" s="90">
        <v>282000</v>
      </c>
      <c r="K209" s="93"/>
      <c r="L209" s="90">
        <v>419000</v>
      </c>
      <c r="M209" s="93"/>
      <c r="N209" s="90">
        <v>2626000</v>
      </c>
      <c r="O209" s="93"/>
      <c r="P209" s="90">
        <v>1482000</v>
      </c>
      <c r="Q209" s="93"/>
      <c r="R209" s="90">
        <v>0</v>
      </c>
    </row>
    <row r="210" spans="1:18" x14ac:dyDescent="0.15">
      <c r="A210" s="86"/>
      <c r="B210" s="86"/>
      <c r="C210" s="52" t="s">
        <v>101</v>
      </c>
      <c r="D210" s="52"/>
      <c r="E210" s="91"/>
      <c r="F210" s="75">
        <f t="shared" si="7"/>
        <v>4965000</v>
      </c>
      <c r="G210" s="92"/>
      <c r="H210" s="90">
        <v>4582000</v>
      </c>
      <c r="I210" s="93"/>
      <c r="J210" s="90">
        <v>139000</v>
      </c>
      <c r="K210" s="93"/>
      <c r="L210" s="90">
        <v>244000</v>
      </c>
      <c r="M210" s="93"/>
      <c r="N210" s="90">
        <v>3272000</v>
      </c>
      <c r="O210" s="93"/>
      <c r="P210" s="90">
        <v>1741000</v>
      </c>
      <c r="Q210" s="93"/>
      <c r="R210" s="90">
        <v>48000</v>
      </c>
    </row>
    <row r="211" spans="1:18" x14ac:dyDescent="0.15">
      <c r="A211" s="86"/>
      <c r="B211" s="86"/>
      <c r="C211" s="52" t="s">
        <v>102</v>
      </c>
      <c r="D211" s="52"/>
      <c r="E211" s="91"/>
      <c r="F211" s="75">
        <f t="shared" si="7"/>
        <v>5409000</v>
      </c>
      <c r="G211" s="92"/>
      <c r="H211" s="90">
        <v>4442000</v>
      </c>
      <c r="I211" s="93"/>
      <c r="J211" s="90">
        <v>330000</v>
      </c>
      <c r="K211" s="93"/>
      <c r="L211" s="90">
        <v>637000</v>
      </c>
      <c r="M211" s="93"/>
      <c r="N211" s="90">
        <v>3671000</v>
      </c>
      <c r="O211" s="93"/>
      <c r="P211" s="90">
        <v>1738000</v>
      </c>
      <c r="Q211" s="93"/>
      <c r="R211" s="90">
        <v>0</v>
      </c>
    </row>
    <row r="212" spans="1:18" x14ac:dyDescent="0.15">
      <c r="A212" s="86"/>
      <c r="B212" s="86"/>
      <c r="C212" s="52" t="s">
        <v>103</v>
      </c>
      <c r="D212" s="52"/>
      <c r="E212" s="91"/>
      <c r="F212" s="75">
        <f t="shared" si="7"/>
        <v>16951000</v>
      </c>
      <c r="G212" s="92"/>
      <c r="H212" s="90">
        <v>14208000</v>
      </c>
      <c r="I212" s="93"/>
      <c r="J212" s="90">
        <v>1568000</v>
      </c>
      <c r="K212" s="93"/>
      <c r="L212" s="90">
        <v>1175000</v>
      </c>
      <c r="M212" s="93"/>
      <c r="N212" s="90">
        <v>11562000</v>
      </c>
      <c r="O212" s="93"/>
      <c r="P212" s="90">
        <v>5389000</v>
      </c>
      <c r="Q212" s="93"/>
      <c r="R212" s="90">
        <v>0</v>
      </c>
    </row>
    <row r="213" spans="1:18" x14ac:dyDescent="0.15">
      <c r="A213" s="86"/>
      <c r="B213" s="86"/>
      <c r="C213" s="52" t="s">
        <v>104</v>
      </c>
      <c r="D213" s="52"/>
      <c r="E213" s="91"/>
      <c r="F213" s="75">
        <f t="shared" si="7"/>
        <v>336000</v>
      </c>
      <c r="G213" s="92"/>
      <c r="H213" s="90">
        <v>335000</v>
      </c>
      <c r="I213" s="93"/>
      <c r="J213" s="90">
        <v>1000</v>
      </c>
      <c r="K213" s="93"/>
      <c r="L213" s="90">
        <v>0</v>
      </c>
      <c r="M213" s="93"/>
      <c r="N213" s="90">
        <v>236000</v>
      </c>
      <c r="O213" s="93"/>
      <c r="P213" s="90">
        <v>100000</v>
      </c>
      <c r="Q213" s="93"/>
      <c r="R213" s="90">
        <v>0</v>
      </c>
    </row>
    <row r="214" spans="1:18" x14ac:dyDescent="0.15">
      <c r="A214" s="86"/>
      <c r="B214" s="86"/>
      <c r="C214" s="52" t="s">
        <v>105</v>
      </c>
      <c r="D214" s="52"/>
      <c r="E214" s="91"/>
      <c r="F214" s="75">
        <f t="shared" si="7"/>
        <v>12452000</v>
      </c>
      <c r="G214" s="92"/>
      <c r="H214" s="90">
        <v>11607000</v>
      </c>
      <c r="I214" s="93"/>
      <c r="J214" s="90">
        <v>481000</v>
      </c>
      <c r="K214" s="93"/>
      <c r="L214" s="90">
        <v>364000</v>
      </c>
      <c r="M214" s="93"/>
      <c r="N214" s="90">
        <v>8486000</v>
      </c>
      <c r="O214" s="93"/>
      <c r="P214" s="90">
        <v>3966000</v>
      </c>
      <c r="Q214" s="93"/>
      <c r="R214" s="90">
        <v>0</v>
      </c>
    </row>
    <row r="215" spans="1:18" x14ac:dyDescent="0.15">
      <c r="A215" s="86"/>
      <c r="B215" s="86"/>
      <c r="C215" s="52" t="s">
        <v>106</v>
      </c>
      <c r="D215" s="52"/>
      <c r="E215" s="91"/>
      <c r="F215" s="75">
        <f t="shared" si="7"/>
        <v>5659000</v>
      </c>
      <c r="G215" s="92"/>
      <c r="H215" s="90">
        <v>5047000</v>
      </c>
      <c r="I215" s="93"/>
      <c r="J215" s="90">
        <v>541000</v>
      </c>
      <c r="K215" s="93"/>
      <c r="L215" s="90">
        <v>71000</v>
      </c>
      <c r="M215" s="93"/>
      <c r="N215" s="90">
        <v>3773000</v>
      </c>
      <c r="O215" s="93"/>
      <c r="P215" s="90">
        <v>1886000</v>
      </c>
      <c r="Q215" s="93"/>
      <c r="R215" s="90">
        <v>0</v>
      </c>
    </row>
    <row r="216" spans="1:18" x14ac:dyDescent="0.15">
      <c r="A216" s="86"/>
      <c r="B216" s="86"/>
      <c r="C216" s="52" t="s">
        <v>107</v>
      </c>
      <c r="D216" s="52"/>
      <c r="E216" s="91"/>
      <c r="F216" s="75">
        <f t="shared" si="7"/>
        <v>2382000</v>
      </c>
      <c r="G216" s="92"/>
      <c r="H216" s="90">
        <v>2211000</v>
      </c>
      <c r="I216" s="93"/>
      <c r="J216" s="90">
        <v>107000</v>
      </c>
      <c r="K216" s="93"/>
      <c r="L216" s="90">
        <v>64000</v>
      </c>
      <c r="M216" s="93"/>
      <c r="N216" s="90">
        <v>1623000</v>
      </c>
      <c r="O216" s="93"/>
      <c r="P216" s="90">
        <v>759000</v>
      </c>
      <c r="Q216" s="93"/>
      <c r="R216" s="90">
        <v>0</v>
      </c>
    </row>
    <row r="217" spans="1:18" x14ac:dyDescent="0.15">
      <c r="A217" s="86"/>
      <c r="B217" s="86"/>
      <c r="C217" s="52" t="s">
        <v>108</v>
      </c>
      <c r="D217" s="52"/>
      <c r="E217" s="91"/>
      <c r="F217" s="75">
        <f t="shared" si="7"/>
        <v>3491000</v>
      </c>
      <c r="G217" s="92"/>
      <c r="H217" s="90">
        <v>3114000</v>
      </c>
      <c r="I217" s="93"/>
      <c r="J217" s="90">
        <v>187000</v>
      </c>
      <c r="K217" s="93"/>
      <c r="L217" s="90">
        <v>190000</v>
      </c>
      <c r="M217" s="93"/>
      <c r="N217" s="90">
        <v>2320000</v>
      </c>
      <c r="O217" s="93"/>
      <c r="P217" s="90">
        <v>1171000</v>
      </c>
      <c r="Q217" s="93"/>
      <c r="R217" s="90">
        <v>0</v>
      </c>
    </row>
    <row r="218" spans="1:18" x14ac:dyDescent="0.15">
      <c r="A218" s="86"/>
      <c r="B218" s="86"/>
      <c r="C218" s="52" t="s">
        <v>109</v>
      </c>
      <c r="D218" s="52"/>
      <c r="E218" s="91"/>
      <c r="F218" s="75">
        <f t="shared" si="7"/>
        <v>3910000</v>
      </c>
      <c r="G218" s="92"/>
      <c r="H218" s="90">
        <v>3514000</v>
      </c>
      <c r="I218" s="93"/>
      <c r="J218" s="90">
        <v>181000</v>
      </c>
      <c r="K218" s="93"/>
      <c r="L218" s="90">
        <v>215000</v>
      </c>
      <c r="M218" s="93"/>
      <c r="N218" s="90">
        <v>2520000</v>
      </c>
      <c r="O218" s="93"/>
      <c r="P218" s="90">
        <v>1390000</v>
      </c>
      <c r="Q218" s="93"/>
      <c r="R218" s="90">
        <v>0</v>
      </c>
    </row>
    <row r="219" spans="1:18" x14ac:dyDescent="0.15">
      <c r="A219" s="86"/>
      <c r="B219" s="86"/>
      <c r="C219" s="52" t="s">
        <v>110</v>
      </c>
      <c r="D219" s="52"/>
      <c r="E219" s="91"/>
      <c r="F219" s="75">
        <f t="shared" si="7"/>
        <v>2972000</v>
      </c>
      <c r="G219" s="92"/>
      <c r="H219" s="90">
        <v>2779000</v>
      </c>
      <c r="I219" s="93"/>
      <c r="J219" s="90">
        <v>82000</v>
      </c>
      <c r="K219" s="93"/>
      <c r="L219" s="90">
        <v>111000</v>
      </c>
      <c r="M219" s="93"/>
      <c r="N219" s="90">
        <v>1990000</v>
      </c>
      <c r="O219" s="93"/>
      <c r="P219" s="90">
        <v>982000</v>
      </c>
      <c r="Q219" s="93"/>
      <c r="R219" s="90">
        <v>0</v>
      </c>
    </row>
    <row r="220" spans="1:18" x14ac:dyDescent="0.15">
      <c r="A220" s="86"/>
      <c r="B220" s="86"/>
      <c r="C220" s="52" t="s">
        <v>111</v>
      </c>
      <c r="D220" s="52"/>
      <c r="E220" s="91"/>
      <c r="G220" s="69"/>
      <c r="H220" s="90"/>
      <c r="I220" s="90"/>
      <c r="J220" s="90"/>
      <c r="K220" s="90"/>
      <c r="L220" s="90"/>
      <c r="M220" s="90"/>
      <c r="N220" s="90"/>
      <c r="O220" s="90"/>
      <c r="P220" s="90"/>
      <c r="Q220" s="90"/>
      <c r="R220" s="90"/>
    </row>
    <row r="221" spans="1:18" x14ac:dyDescent="0.15">
      <c r="A221" s="86"/>
      <c r="B221" s="86"/>
      <c r="C221" s="86"/>
      <c r="D221" s="52"/>
      <c r="E221" s="91" t="s">
        <v>97</v>
      </c>
      <c r="F221" s="75">
        <f>SUM(H221:L221)</f>
        <v>551000</v>
      </c>
      <c r="G221" s="92"/>
      <c r="H221" s="90">
        <v>524000</v>
      </c>
      <c r="I221" s="93"/>
      <c r="J221" s="90">
        <v>4000</v>
      </c>
      <c r="K221" s="93"/>
      <c r="L221" s="90">
        <v>23000</v>
      </c>
      <c r="M221" s="93"/>
      <c r="N221" s="90">
        <v>369000</v>
      </c>
      <c r="O221" s="93"/>
      <c r="P221" s="90">
        <v>182000</v>
      </c>
      <c r="Q221" s="93"/>
      <c r="R221" s="90">
        <v>0</v>
      </c>
    </row>
    <row r="222" spans="1:18" x14ac:dyDescent="0.15">
      <c r="A222" s="86"/>
      <c r="B222" s="86"/>
      <c r="C222" s="52" t="s">
        <v>112</v>
      </c>
      <c r="D222" s="52"/>
      <c r="E222" s="91"/>
      <c r="F222" s="75">
        <f>SUM(H222:L222)</f>
        <v>12496000</v>
      </c>
      <c r="G222" s="92"/>
      <c r="H222" s="90">
        <v>10687000</v>
      </c>
      <c r="I222" s="93"/>
      <c r="J222" s="90">
        <v>614000</v>
      </c>
      <c r="K222" s="93"/>
      <c r="L222" s="90">
        <v>1195000</v>
      </c>
      <c r="M222" s="93"/>
      <c r="N222" s="90">
        <v>8052000</v>
      </c>
      <c r="O222" s="93"/>
      <c r="P222" s="90">
        <v>4444000</v>
      </c>
      <c r="Q222" s="93"/>
      <c r="R222" s="90">
        <v>0</v>
      </c>
    </row>
    <row r="223" spans="1:18" x14ac:dyDescent="0.15">
      <c r="A223" s="86"/>
      <c r="B223" s="86"/>
      <c r="C223" s="52" t="s">
        <v>114</v>
      </c>
      <c r="D223" s="52"/>
      <c r="E223" s="91"/>
      <c r="F223" s="75">
        <f>SUM(H223:L223)</f>
        <v>12697000</v>
      </c>
      <c r="G223" s="92"/>
      <c r="H223" s="90">
        <v>9786000</v>
      </c>
      <c r="I223" s="93"/>
      <c r="J223" s="90">
        <v>1627000</v>
      </c>
      <c r="K223" s="93"/>
      <c r="L223" s="90">
        <v>1284000</v>
      </c>
      <c r="M223" s="93"/>
      <c r="N223" s="90">
        <v>7939000</v>
      </c>
      <c r="O223" s="93"/>
      <c r="P223" s="90">
        <v>4758000</v>
      </c>
      <c r="Q223" s="93"/>
      <c r="R223" s="90"/>
    </row>
    <row r="224" spans="1:18" x14ac:dyDescent="0.15">
      <c r="A224" s="86"/>
      <c r="B224" s="86"/>
      <c r="C224" s="52" t="s">
        <v>115</v>
      </c>
      <c r="D224" s="52"/>
      <c r="E224" s="91"/>
      <c r="G224" s="69"/>
      <c r="H224" s="90"/>
      <c r="I224" s="90"/>
      <c r="J224" s="90"/>
      <c r="K224" s="90"/>
      <c r="L224" s="90"/>
      <c r="M224" s="90"/>
      <c r="N224" s="90"/>
      <c r="O224" s="90"/>
      <c r="P224" s="90"/>
      <c r="Q224" s="90"/>
      <c r="R224" s="90"/>
    </row>
    <row r="225" spans="1:18" x14ac:dyDescent="0.15">
      <c r="A225" s="86"/>
      <c r="B225" s="86"/>
      <c r="C225" s="86"/>
      <c r="D225" s="52"/>
      <c r="E225" s="91" t="s">
        <v>116</v>
      </c>
      <c r="F225" s="75">
        <f>SUM(H225:L225)</f>
        <v>3280000</v>
      </c>
      <c r="G225" s="92"/>
      <c r="H225" s="90">
        <v>2931000</v>
      </c>
      <c r="I225" s="93"/>
      <c r="J225" s="90">
        <v>276000</v>
      </c>
      <c r="K225" s="93"/>
      <c r="L225" s="90">
        <v>73000</v>
      </c>
      <c r="M225" s="93"/>
      <c r="N225" s="90">
        <v>2082000</v>
      </c>
      <c r="O225" s="93"/>
      <c r="P225" s="90">
        <v>1198000</v>
      </c>
      <c r="Q225" s="93"/>
      <c r="R225" s="90">
        <v>0</v>
      </c>
    </row>
    <row r="226" spans="1:18" x14ac:dyDescent="0.15">
      <c r="A226" s="86"/>
      <c r="B226" s="86"/>
      <c r="C226" s="52" t="s">
        <v>117</v>
      </c>
      <c r="D226" s="52"/>
      <c r="E226" s="91"/>
      <c r="F226" s="75">
        <f>SUM(H226:L226)</f>
        <v>1634000</v>
      </c>
      <c r="G226" s="92"/>
      <c r="H226" s="90">
        <v>1450000</v>
      </c>
      <c r="I226" s="93"/>
      <c r="J226" s="90">
        <v>107000</v>
      </c>
      <c r="K226" s="93"/>
      <c r="L226" s="90">
        <v>77000</v>
      </c>
      <c r="M226" s="93"/>
      <c r="N226" s="90">
        <v>1063000</v>
      </c>
      <c r="O226" s="93"/>
      <c r="P226" s="90">
        <v>571000</v>
      </c>
      <c r="Q226" s="93"/>
      <c r="R226" s="90">
        <v>0</v>
      </c>
    </row>
    <row r="227" spans="1:18" x14ac:dyDescent="0.15">
      <c r="A227" s="86"/>
      <c r="B227" s="86"/>
      <c r="C227" s="52" t="s">
        <v>118</v>
      </c>
      <c r="D227" s="52"/>
      <c r="E227" s="91"/>
      <c r="G227" s="69"/>
      <c r="H227" s="90"/>
      <c r="I227" s="90"/>
      <c r="J227" s="90"/>
      <c r="K227" s="90"/>
      <c r="L227" s="90"/>
      <c r="M227" s="90"/>
      <c r="N227" s="90"/>
      <c r="O227" s="90"/>
      <c r="P227" s="90"/>
      <c r="Q227" s="90"/>
      <c r="R227" s="90"/>
    </row>
    <row r="228" spans="1:18" x14ac:dyDescent="0.15">
      <c r="A228" s="86"/>
      <c r="B228" s="86"/>
      <c r="C228" s="86"/>
      <c r="D228" s="52"/>
      <c r="E228" s="91" t="s">
        <v>97</v>
      </c>
      <c r="F228" s="75">
        <f t="shared" ref="F228:F243" si="8">SUM(H228:L228)</f>
        <v>385000</v>
      </c>
      <c r="G228" s="92"/>
      <c r="H228" s="90">
        <v>378000</v>
      </c>
      <c r="I228" s="93"/>
      <c r="J228" s="90">
        <v>7000</v>
      </c>
      <c r="K228" s="93"/>
      <c r="L228" s="90">
        <v>0</v>
      </c>
      <c r="M228" s="93"/>
      <c r="N228" s="90">
        <v>260000</v>
      </c>
      <c r="O228" s="93"/>
      <c r="P228" s="90">
        <v>125000</v>
      </c>
      <c r="Q228" s="93"/>
      <c r="R228" s="90">
        <v>0</v>
      </c>
    </row>
    <row r="229" spans="1:18" x14ac:dyDescent="0.15">
      <c r="A229" s="86"/>
      <c r="B229" s="86"/>
      <c r="C229" s="52" t="s">
        <v>119</v>
      </c>
      <c r="D229" s="52"/>
      <c r="E229" s="91"/>
      <c r="F229" s="75">
        <f t="shared" si="8"/>
        <v>347000</v>
      </c>
      <c r="G229" s="92"/>
      <c r="H229" s="90">
        <v>42000</v>
      </c>
      <c r="I229" s="93"/>
      <c r="J229" s="90">
        <v>160000</v>
      </c>
      <c r="K229" s="93"/>
      <c r="L229" s="90">
        <v>145000</v>
      </c>
      <c r="M229" s="93"/>
      <c r="N229" s="90">
        <v>238000</v>
      </c>
      <c r="O229" s="93"/>
      <c r="P229" s="90">
        <v>109000</v>
      </c>
      <c r="Q229" s="93"/>
      <c r="R229" s="90">
        <v>0</v>
      </c>
    </row>
    <row r="230" spans="1:18" x14ac:dyDescent="0.15">
      <c r="A230" s="86"/>
      <c r="B230" s="86"/>
      <c r="C230" s="52" t="s">
        <v>120</v>
      </c>
      <c r="D230" s="52"/>
      <c r="E230" s="91"/>
      <c r="F230" s="75">
        <f t="shared" si="8"/>
        <v>1127000</v>
      </c>
      <c r="G230" s="92"/>
      <c r="H230" s="90">
        <v>924000</v>
      </c>
      <c r="I230" s="93"/>
      <c r="J230" s="90">
        <v>113000</v>
      </c>
      <c r="K230" s="93"/>
      <c r="L230" s="90">
        <v>90000</v>
      </c>
      <c r="M230" s="93"/>
      <c r="N230" s="90">
        <v>762000</v>
      </c>
      <c r="O230" s="93"/>
      <c r="P230" s="90">
        <v>379000</v>
      </c>
      <c r="Q230" s="93"/>
      <c r="R230" s="90">
        <v>14000</v>
      </c>
    </row>
    <row r="231" spans="1:18" x14ac:dyDescent="0.15">
      <c r="A231" s="86"/>
      <c r="B231" s="86"/>
      <c r="C231" s="52" t="s">
        <v>121</v>
      </c>
      <c r="D231" s="52"/>
      <c r="E231" s="91"/>
      <c r="F231" s="75">
        <f t="shared" si="8"/>
        <v>3392000</v>
      </c>
      <c r="G231" s="92"/>
      <c r="H231" s="90">
        <v>3016000</v>
      </c>
      <c r="I231" s="93"/>
      <c r="J231" s="90">
        <v>213000</v>
      </c>
      <c r="K231" s="93"/>
      <c r="L231" s="90">
        <v>163000</v>
      </c>
      <c r="M231" s="93"/>
      <c r="N231" s="90">
        <v>2268000</v>
      </c>
      <c r="O231" s="93"/>
      <c r="P231" s="90">
        <v>1124000</v>
      </c>
      <c r="Q231" s="93"/>
      <c r="R231" s="90">
        <v>0</v>
      </c>
    </row>
    <row r="232" spans="1:18" x14ac:dyDescent="0.15">
      <c r="A232" s="86"/>
      <c r="B232" s="86"/>
      <c r="C232" s="52" t="s">
        <v>122</v>
      </c>
      <c r="D232" s="52"/>
      <c r="E232" s="91"/>
      <c r="F232" s="75">
        <f t="shared" si="8"/>
        <v>18135000</v>
      </c>
      <c r="G232" s="92"/>
      <c r="H232" s="90">
        <v>15054000</v>
      </c>
      <c r="I232" s="93"/>
      <c r="J232" s="90">
        <v>2681000</v>
      </c>
      <c r="K232" s="93"/>
      <c r="L232" s="90">
        <v>400000</v>
      </c>
      <c r="M232" s="93"/>
      <c r="N232" s="90">
        <v>12155000</v>
      </c>
      <c r="O232" s="93"/>
      <c r="P232" s="90">
        <v>5980000</v>
      </c>
      <c r="Q232" s="93"/>
      <c r="R232" s="90">
        <v>0</v>
      </c>
    </row>
    <row r="233" spans="1:18" x14ac:dyDescent="0.15">
      <c r="A233" s="86"/>
      <c r="B233" s="86"/>
      <c r="C233" s="52" t="s">
        <v>123</v>
      </c>
      <c r="D233" s="52"/>
      <c r="E233" s="91"/>
      <c r="F233" s="75">
        <f t="shared" si="8"/>
        <v>11000</v>
      </c>
      <c r="G233" s="92"/>
      <c r="H233" s="90">
        <v>11000</v>
      </c>
      <c r="I233" s="93"/>
      <c r="J233" s="90">
        <v>0</v>
      </c>
      <c r="K233" s="93"/>
      <c r="L233" s="90">
        <v>0</v>
      </c>
      <c r="M233" s="93"/>
      <c r="N233" s="90">
        <v>0</v>
      </c>
      <c r="O233" s="93"/>
      <c r="P233" s="90">
        <v>11000</v>
      </c>
      <c r="Q233" s="93"/>
      <c r="R233" s="90">
        <v>0</v>
      </c>
    </row>
    <row r="234" spans="1:18" x14ac:dyDescent="0.15">
      <c r="A234" s="86"/>
      <c r="B234" s="86"/>
      <c r="C234" s="52" t="s">
        <v>125</v>
      </c>
      <c r="D234" s="52"/>
      <c r="E234" s="91"/>
      <c r="F234" s="75">
        <f t="shared" si="8"/>
        <v>24207000</v>
      </c>
      <c r="G234" s="92"/>
      <c r="H234" s="90">
        <v>15953000</v>
      </c>
      <c r="I234" s="93"/>
      <c r="J234" s="90">
        <v>4977000</v>
      </c>
      <c r="K234" s="93"/>
      <c r="L234" s="90">
        <v>3277000</v>
      </c>
      <c r="M234" s="93"/>
      <c r="N234" s="90">
        <v>13332000</v>
      </c>
      <c r="O234" s="93"/>
      <c r="P234" s="90">
        <v>10875000</v>
      </c>
      <c r="Q234" s="93"/>
      <c r="R234" s="90">
        <v>0</v>
      </c>
    </row>
    <row r="235" spans="1:18" x14ac:dyDescent="0.15">
      <c r="A235" s="86"/>
      <c r="B235" s="86"/>
      <c r="C235" s="52" t="s">
        <v>126</v>
      </c>
      <c r="D235" s="52"/>
      <c r="E235" s="91"/>
      <c r="F235" s="75">
        <f t="shared" si="8"/>
        <v>5652000</v>
      </c>
      <c r="G235" s="92"/>
      <c r="H235" s="90">
        <v>4569000</v>
      </c>
      <c r="I235" s="93"/>
      <c r="J235" s="90">
        <v>372000</v>
      </c>
      <c r="K235" s="93"/>
      <c r="L235" s="90">
        <v>711000</v>
      </c>
      <c r="M235" s="93"/>
      <c r="N235" s="90">
        <v>3718000</v>
      </c>
      <c r="O235" s="93"/>
      <c r="P235" s="90">
        <v>1934000</v>
      </c>
      <c r="Q235" s="93"/>
      <c r="R235" s="90">
        <v>0</v>
      </c>
    </row>
    <row r="236" spans="1:18" x14ac:dyDescent="0.15">
      <c r="A236" s="86"/>
      <c r="B236" s="86"/>
      <c r="C236" s="52" t="s">
        <v>127</v>
      </c>
      <c r="D236" s="52"/>
      <c r="E236" s="91"/>
      <c r="F236" s="75">
        <f t="shared" si="8"/>
        <v>3548000</v>
      </c>
      <c r="G236" s="92"/>
      <c r="H236" s="90">
        <v>3214000</v>
      </c>
      <c r="I236" s="93"/>
      <c r="J236" s="90">
        <v>177000</v>
      </c>
      <c r="K236" s="93"/>
      <c r="L236" s="90">
        <v>157000</v>
      </c>
      <c r="M236" s="93"/>
      <c r="N236" s="90">
        <v>2421000</v>
      </c>
      <c r="O236" s="93"/>
      <c r="P236" s="90">
        <v>1127000</v>
      </c>
      <c r="Q236" s="93"/>
      <c r="R236" s="90">
        <v>0</v>
      </c>
    </row>
    <row r="237" spans="1:18" x14ac:dyDescent="0.15">
      <c r="A237" s="86"/>
      <c r="B237" s="86"/>
      <c r="C237" s="52" t="s">
        <v>128</v>
      </c>
      <c r="D237" s="52"/>
      <c r="E237" s="91"/>
      <c r="F237" s="75">
        <f t="shared" si="8"/>
        <v>5336000</v>
      </c>
      <c r="G237" s="92"/>
      <c r="H237" s="90">
        <v>4479000</v>
      </c>
      <c r="I237" s="93"/>
      <c r="J237" s="90">
        <v>334000</v>
      </c>
      <c r="K237" s="93"/>
      <c r="L237" s="90">
        <v>523000</v>
      </c>
      <c r="M237" s="93"/>
      <c r="N237" s="90">
        <v>3601000</v>
      </c>
      <c r="O237" s="93"/>
      <c r="P237" s="90">
        <v>1735000</v>
      </c>
      <c r="Q237" s="93"/>
      <c r="R237" s="90">
        <v>0</v>
      </c>
    </row>
    <row r="238" spans="1:18" ht="12" customHeight="1" x14ac:dyDescent="0.15">
      <c r="A238" s="86"/>
      <c r="B238" s="86"/>
      <c r="C238" s="52" t="s">
        <v>129</v>
      </c>
      <c r="D238" s="52"/>
      <c r="E238" s="91"/>
      <c r="F238" s="75">
        <f>SUM(H238:L238)</f>
        <v>1514000</v>
      </c>
      <c r="G238" s="92"/>
      <c r="H238" s="90">
        <v>1276000</v>
      </c>
      <c r="I238" s="93"/>
      <c r="J238" s="90">
        <v>142000</v>
      </c>
      <c r="K238" s="93"/>
      <c r="L238" s="90">
        <v>96000</v>
      </c>
      <c r="M238" s="93"/>
      <c r="N238" s="90">
        <v>1036000</v>
      </c>
      <c r="O238" s="93"/>
      <c r="P238" s="90">
        <v>478000</v>
      </c>
      <c r="Q238" s="93"/>
      <c r="R238" s="90">
        <v>0</v>
      </c>
    </row>
    <row r="239" spans="1:18" x14ac:dyDescent="0.15">
      <c r="A239" s="86"/>
      <c r="B239" s="86"/>
      <c r="C239" s="52" t="s">
        <v>130</v>
      </c>
      <c r="D239" s="52"/>
      <c r="E239" s="91"/>
      <c r="F239" s="75">
        <f>SUM(H239:L239)</f>
        <v>1217000</v>
      </c>
      <c r="H239" s="86">
        <v>441000</v>
      </c>
      <c r="J239" s="86">
        <v>24000</v>
      </c>
      <c r="L239" s="86">
        <v>752000</v>
      </c>
      <c r="N239" s="86">
        <v>803000</v>
      </c>
      <c r="P239" s="86">
        <v>414000</v>
      </c>
    </row>
    <row r="240" spans="1:18" x14ac:dyDescent="0.15">
      <c r="A240" s="86"/>
      <c r="B240" s="86"/>
      <c r="C240" s="52" t="s">
        <v>131</v>
      </c>
      <c r="D240" s="52"/>
      <c r="E240" s="91"/>
      <c r="F240" s="75">
        <f>SUM(H240:L240)</f>
        <v>17331000</v>
      </c>
      <c r="G240" s="92"/>
      <c r="H240" s="90">
        <v>14017000</v>
      </c>
      <c r="I240" s="93"/>
      <c r="J240" s="90">
        <v>2430000</v>
      </c>
      <c r="K240" s="93"/>
      <c r="L240" s="90">
        <v>884000</v>
      </c>
      <c r="M240" s="93"/>
      <c r="N240" s="90">
        <v>11086000</v>
      </c>
      <c r="O240" s="93"/>
      <c r="P240" s="90">
        <v>6592000</v>
      </c>
      <c r="Q240" s="93"/>
      <c r="R240" s="90">
        <v>347000</v>
      </c>
    </row>
    <row r="241" spans="1:18" x14ac:dyDescent="0.15">
      <c r="A241" s="86"/>
      <c r="B241" s="86"/>
      <c r="C241" s="52" t="s">
        <v>132</v>
      </c>
      <c r="D241" s="52"/>
      <c r="E241" s="91"/>
      <c r="F241" s="75">
        <f t="shared" si="8"/>
        <v>11412000</v>
      </c>
      <c r="G241" s="92"/>
      <c r="H241" s="90">
        <v>9908000</v>
      </c>
      <c r="I241" s="93"/>
      <c r="J241" s="90">
        <v>713000</v>
      </c>
      <c r="K241" s="93"/>
      <c r="L241" s="90">
        <v>791000</v>
      </c>
      <c r="M241" s="93"/>
      <c r="N241" s="90">
        <v>7726000</v>
      </c>
      <c r="O241" s="93"/>
      <c r="P241" s="90">
        <v>3686000</v>
      </c>
      <c r="Q241" s="93"/>
      <c r="R241" s="90">
        <v>0</v>
      </c>
    </row>
    <row r="242" spans="1:18" x14ac:dyDescent="0.15">
      <c r="A242" s="86"/>
      <c r="B242" s="86"/>
      <c r="C242" s="52" t="s">
        <v>133</v>
      </c>
      <c r="D242" s="52"/>
      <c r="E242" s="91"/>
      <c r="F242" s="75">
        <f t="shared" si="8"/>
        <v>10800000</v>
      </c>
      <c r="G242" s="92"/>
      <c r="H242" s="90">
        <v>9849000</v>
      </c>
      <c r="I242" s="93"/>
      <c r="J242" s="90">
        <v>720000</v>
      </c>
      <c r="K242" s="93"/>
      <c r="L242" s="90">
        <v>231000</v>
      </c>
      <c r="M242" s="93"/>
      <c r="N242" s="90">
        <v>7209000</v>
      </c>
      <c r="O242" s="93"/>
      <c r="P242" s="90">
        <v>3598000</v>
      </c>
      <c r="Q242" s="93"/>
      <c r="R242" s="90">
        <v>7000</v>
      </c>
    </row>
    <row r="243" spans="1:18" x14ac:dyDescent="0.15">
      <c r="A243" s="86"/>
      <c r="B243" s="86"/>
      <c r="C243" s="52" t="s">
        <v>134</v>
      </c>
      <c r="D243" s="52"/>
      <c r="E243" s="91"/>
      <c r="F243" s="75">
        <f t="shared" si="8"/>
        <v>2754000</v>
      </c>
      <c r="G243" s="92"/>
      <c r="H243" s="90">
        <v>2323000</v>
      </c>
      <c r="I243" s="93"/>
      <c r="J243" s="90">
        <v>383000</v>
      </c>
      <c r="K243" s="93"/>
      <c r="L243" s="90">
        <v>48000</v>
      </c>
      <c r="M243" s="93"/>
      <c r="N243" s="90">
        <v>1788000</v>
      </c>
      <c r="O243" s="93"/>
      <c r="P243" s="90">
        <v>966000</v>
      </c>
      <c r="Q243" s="93"/>
      <c r="R243" s="90">
        <v>0</v>
      </c>
    </row>
    <row r="244" spans="1:18" x14ac:dyDescent="0.15">
      <c r="A244" s="86"/>
      <c r="B244" s="86"/>
      <c r="C244" s="52" t="s">
        <v>135</v>
      </c>
      <c r="D244" s="52"/>
      <c r="E244" s="91"/>
      <c r="G244" s="69"/>
      <c r="H244" s="90"/>
      <c r="I244" s="90"/>
      <c r="J244" s="90"/>
      <c r="K244" s="90"/>
      <c r="L244" s="90"/>
      <c r="M244" s="90"/>
      <c r="N244" s="90"/>
      <c r="O244" s="90"/>
      <c r="P244" s="90"/>
      <c r="Q244" s="90"/>
      <c r="R244" s="90"/>
    </row>
    <row r="245" spans="1:18" x14ac:dyDescent="0.15">
      <c r="A245" s="86"/>
      <c r="B245" s="86"/>
      <c r="C245" s="86"/>
      <c r="D245" s="52"/>
      <c r="E245" s="91" t="s">
        <v>97</v>
      </c>
      <c r="F245" s="75">
        <f t="shared" ref="F245:F259" si="9">SUM(H245:L245)</f>
        <v>416000</v>
      </c>
      <c r="G245" s="92"/>
      <c r="H245" s="90">
        <v>415000</v>
      </c>
      <c r="I245" s="93"/>
      <c r="J245" s="90">
        <v>0</v>
      </c>
      <c r="K245" s="93"/>
      <c r="L245" s="90">
        <v>1000</v>
      </c>
      <c r="M245" s="93"/>
      <c r="N245" s="90">
        <v>288000</v>
      </c>
      <c r="O245" s="93"/>
      <c r="P245" s="90">
        <v>128000</v>
      </c>
      <c r="Q245" s="93"/>
      <c r="R245" s="90">
        <v>0</v>
      </c>
    </row>
    <row r="246" spans="1:18" x14ac:dyDescent="0.15">
      <c r="A246" s="86"/>
      <c r="B246" s="86"/>
      <c r="C246" s="52" t="s">
        <v>136</v>
      </c>
      <c r="D246" s="52"/>
      <c r="E246" s="91"/>
      <c r="F246" s="75">
        <f t="shared" si="9"/>
        <v>307000</v>
      </c>
      <c r="G246" s="92"/>
      <c r="H246" s="90">
        <v>203000</v>
      </c>
      <c r="I246" s="93"/>
      <c r="J246" s="90">
        <v>0</v>
      </c>
      <c r="K246" s="93"/>
      <c r="L246" s="90">
        <v>104000</v>
      </c>
      <c r="M246" s="93"/>
      <c r="N246" s="90">
        <v>109000</v>
      </c>
      <c r="O246" s="93"/>
      <c r="P246" s="90">
        <v>198000</v>
      </c>
      <c r="Q246" s="93"/>
      <c r="R246" s="90">
        <v>0</v>
      </c>
    </row>
    <row r="247" spans="1:18" x14ac:dyDescent="0.15">
      <c r="A247" s="86"/>
      <c r="B247" s="86"/>
      <c r="C247" s="52" t="s">
        <v>137</v>
      </c>
      <c r="D247" s="52"/>
      <c r="E247" s="91"/>
      <c r="F247" s="75">
        <f t="shared" si="9"/>
        <v>1551000</v>
      </c>
      <c r="G247" s="92"/>
      <c r="H247" s="90">
        <v>1311000</v>
      </c>
      <c r="I247" s="93"/>
      <c r="J247" s="90">
        <v>151000</v>
      </c>
      <c r="K247" s="93"/>
      <c r="L247" s="90">
        <v>89000</v>
      </c>
      <c r="M247" s="93"/>
      <c r="N247" s="90">
        <v>1018000</v>
      </c>
      <c r="O247" s="93"/>
      <c r="P247" s="90">
        <v>533000</v>
      </c>
      <c r="Q247" s="93"/>
      <c r="R247" s="90">
        <v>0</v>
      </c>
    </row>
    <row r="248" spans="1:18" x14ac:dyDescent="0.15">
      <c r="A248" s="86"/>
      <c r="B248" s="86"/>
      <c r="C248" s="52" t="s">
        <v>138</v>
      </c>
      <c r="D248" s="52"/>
      <c r="E248" s="91"/>
      <c r="F248" s="75">
        <f t="shared" si="9"/>
        <v>2170000</v>
      </c>
      <c r="G248" s="92"/>
      <c r="H248" s="90">
        <v>1927000</v>
      </c>
      <c r="I248" s="93"/>
      <c r="J248" s="90">
        <v>21000</v>
      </c>
      <c r="K248" s="93"/>
      <c r="L248" s="90">
        <v>222000</v>
      </c>
      <c r="M248" s="93"/>
      <c r="N248" s="90">
        <v>1517000</v>
      </c>
      <c r="O248" s="93"/>
      <c r="P248" s="90">
        <v>653000</v>
      </c>
      <c r="Q248" s="93"/>
      <c r="R248" s="90">
        <v>0</v>
      </c>
    </row>
    <row r="249" spans="1:18" x14ac:dyDescent="0.15">
      <c r="A249" s="86"/>
      <c r="B249" s="86"/>
      <c r="C249" s="52" t="s">
        <v>139</v>
      </c>
      <c r="D249" s="52"/>
      <c r="E249" s="91"/>
      <c r="F249" s="75">
        <f t="shared" si="9"/>
        <v>283000</v>
      </c>
      <c r="G249" s="92"/>
      <c r="H249" s="90">
        <v>255000</v>
      </c>
      <c r="I249" s="93"/>
      <c r="J249" s="90">
        <v>6000</v>
      </c>
      <c r="K249" s="93"/>
      <c r="L249" s="90">
        <v>22000</v>
      </c>
      <c r="M249" s="93"/>
      <c r="N249" s="90">
        <v>47000</v>
      </c>
      <c r="O249" s="93"/>
      <c r="P249" s="90">
        <v>236000</v>
      </c>
      <c r="Q249" s="93"/>
      <c r="R249" s="90">
        <v>0</v>
      </c>
    </row>
    <row r="250" spans="1:18" x14ac:dyDescent="0.15">
      <c r="A250" s="86"/>
      <c r="B250" s="86"/>
      <c r="C250" s="52" t="s">
        <v>140</v>
      </c>
      <c r="D250" s="52"/>
      <c r="E250" s="91"/>
      <c r="F250" s="75">
        <f>SUM(H250:L250)</f>
        <v>938000</v>
      </c>
      <c r="G250" s="92"/>
      <c r="H250" s="90">
        <v>229000</v>
      </c>
      <c r="I250" s="93"/>
      <c r="J250" s="90">
        <v>252000</v>
      </c>
      <c r="K250" s="93"/>
      <c r="L250" s="90">
        <v>457000</v>
      </c>
      <c r="M250" s="93"/>
      <c r="N250" s="90">
        <v>410000</v>
      </c>
      <c r="O250" s="93"/>
      <c r="P250" s="90">
        <v>528000</v>
      </c>
      <c r="Q250" s="93"/>
      <c r="R250" s="90">
        <v>0</v>
      </c>
    </row>
    <row r="251" spans="1:18" x14ac:dyDescent="0.15">
      <c r="A251" s="86"/>
      <c r="B251" s="86"/>
      <c r="C251" s="52" t="s">
        <v>141</v>
      </c>
      <c r="D251" s="52"/>
      <c r="E251" s="91"/>
      <c r="F251" s="75">
        <f t="shared" si="9"/>
        <v>10810000</v>
      </c>
      <c r="G251" s="92"/>
      <c r="H251" s="90">
        <v>8140000</v>
      </c>
      <c r="I251" s="93"/>
      <c r="J251" s="90">
        <v>2358000</v>
      </c>
      <c r="K251" s="93"/>
      <c r="L251" s="90">
        <v>312000</v>
      </c>
      <c r="M251" s="93"/>
      <c r="N251" s="90">
        <v>6906000</v>
      </c>
      <c r="O251" s="93"/>
      <c r="P251" s="90">
        <v>3904000</v>
      </c>
      <c r="Q251" s="93"/>
      <c r="R251" s="90">
        <v>0</v>
      </c>
    </row>
    <row r="252" spans="1:18" x14ac:dyDescent="0.15">
      <c r="A252" s="86"/>
      <c r="B252" s="86"/>
      <c r="C252" s="52" t="s">
        <v>142</v>
      </c>
      <c r="D252" s="52"/>
      <c r="E252" s="91"/>
      <c r="F252" s="75">
        <f t="shared" si="9"/>
        <v>2964000</v>
      </c>
      <c r="G252" s="92"/>
      <c r="H252" s="90">
        <v>2303000</v>
      </c>
      <c r="I252" s="93"/>
      <c r="J252" s="90">
        <v>297000</v>
      </c>
      <c r="K252" s="93"/>
      <c r="L252" s="90">
        <v>364000</v>
      </c>
      <c r="M252" s="93"/>
      <c r="N252" s="90">
        <v>2032000</v>
      </c>
      <c r="O252" s="93"/>
      <c r="P252" s="90">
        <v>932000</v>
      </c>
      <c r="Q252" s="93"/>
      <c r="R252" s="90">
        <v>0</v>
      </c>
    </row>
    <row r="253" spans="1:18" x14ac:dyDescent="0.15">
      <c r="A253" s="86"/>
      <c r="B253" s="86"/>
      <c r="C253" s="52" t="s">
        <v>143</v>
      </c>
      <c r="D253" s="52"/>
      <c r="E253" s="91"/>
      <c r="F253" s="75">
        <f t="shared" si="9"/>
        <v>3595000</v>
      </c>
      <c r="G253" s="92"/>
      <c r="H253" s="90">
        <v>3187000</v>
      </c>
      <c r="I253" s="93"/>
      <c r="J253" s="90">
        <v>348000</v>
      </c>
      <c r="K253" s="93"/>
      <c r="L253" s="90">
        <v>60000</v>
      </c>
      <c r="M253" s="93"/>
      <c r="N253" s="90">
        <v>2400000</v>
      </c>
      <c r="O253" s="93"/>
      <c r="P253" s="90">
        <v>1195000</v>
      </c>
      <c r="Q253" s="93"/>
      <c r="R253" s="90">
        <v>0</v>
      </c>
    </row>
    <row r="254" spans="1:18" x14ac:dyDescent="0.15">
      <c r="A254" s="86"/>
      <c r="B254" s="86"/>
      <c r="C254" s="52" t="s">
        <v>144</v>
      </c>
      <c r="D254" s="52"/>
      <c r="E254" s="91"/>
      <c r="F254" s="75">
        <f t="shared" si="9"/>
        <v>7267000</v>
      </c>
      <c r="G254" s="92"/>
      <c r="H254" s="90">
        <v>6191000</v>
      </c>
      <c r="I254" s="93"/>
      <c r="J254" s="90">
        <v>945000</v>
      </c>
      <c r="K254" s="93"/>
      <c r="L254" s="90">
        <v>131000</v>
      </c>
      <c r="M254" s="93"/>
      <c r="N254" s="90">
        <v>4775000</v>
      </c>
      <c r="O254" s="93"/>
      <c r="P254" s="90">
        <v>2492000</v>
      </c>
      <c r="Q254" s="93"/>
      <c r="R254" s="90">
        <v>0</v>
      </c>
    </row>
    <row r="255" spans="1:18" x14ac:dyDescent="0.15">
      <c r="A255" s="86"/>
      <c r="C255" s="52" t="s">
        <v>145</v>
      </c>
      <c r="D255" s="52"/>
      <c r="E255" s="91"/>
      <c r="F255" s="75">
        <f t="shared" si="9"/>
        <v>11000</v>
      </c>
      <c r="G255" s="92"/>
      <c r="H255" s="90">
        <v>0</v>
      </c>
      <c r="I255" s="93"/>
      <c r="J255" s="90">
        <v>0</v>
      </c>
      <c r="K255" s="93"/>
      <c r="L255" s="90">
        <v>11000</v>
      </c>
      <c r="M255" s="93"/>
      <c r="N255" s="90">
        <v>6000</v>
      </c>
      <c r="O255" s="93"/>
      <c r="P255" s="90">
        <v>5000</v>
      </c>
      <c r="Q255" s="93"/>
      <c r="R255" s="90">
        <v>0</v>
      </c>
    </row>
    <row r="256" spans="1:18" x14ac:dyDescent="0.15">
      <c r="A256" s="86"/>
      <c r="C256" s="52" t="s">
        <v>146</v>
      </c>
      <c r="D256" s="52"/>
      <c r="E256" s="91"/>
      <c r="F256" s="75">
        <f t="shared" si="9"/>
        <v>3343000</v>
      </c>
      <c r="G256" s="92"/>
      <c r="H256" s="90">
        <v>2839000</v>
      </c>
      <c r="I256" s="93"/>
      <c r="J256" s="90">
        <v>501000</v>
      </c>
      <c r="K256" s="93"/>
      <c r="L256" s="90">
        <v>3000</v>
      </c>
      <c r="M256" s="93"/>
      <c r="N256" s="90">
        <v>2266000</v>
      </c>
      <c r="O256" s="93"/>
      <c r="P256" s="90">
        <v>1077000</v>
      </c>
      <c r="Q256" s="93"/>
      <c r="R256" s="90">
        <v>0</v>
      </c>
    </row>
    <row r="257" spans="1:18" x14ac:dyDescent="0.15">
      <c r="A257" s="86"/>
      <c r="C257" s="52" t="s">
        <v>147</v>
      </c>
      <c r="D257" s="52"/>
      <c r="E257" s="91"/>
      <c r="G257" s="92"/>
      <c r="H257" s="90"/>
      <c r="I257" s="93"/>
      <c r="J257" s="90"/>
      <c r="K257" s="93"/>
      <c r="L257" s="90"/>
      <c r="M257" s="93"/>
      <c r="N257" s="90"/>
      <c r="O257" s="93"/>
      <c r="P257" s="90"/>
      <c r="Q257" s="93"/>
      <c r="R257" s="90"/>
    </row>
    <row r="258" spans="1:18" x14ac:dyDescent="0.15">
      <c r="A258" s="86"/>
      <c r="E258" s="52" t="s">
        <v>148</v>
      </c>
      <c r="F258" s="75">
        <f t="shared" si="9"/>
        <v>6388000</v>
      </c>
      <c r="G258" s="92"/>
      <c r="H258" s="90">
        <v>4918000</v>
      </c>
      <c r="I258" s="93"/>
      <c r="J258" s="90">
        <v>447000</v>
      </c>
      <c r="K258" s="93"/>
      <c r="L258" s="90">
        <v>1023000</v>
      </c>
      <c r="M258" s="93"/>
      <c r="N258" s="90">
        <v>3730000</v>
      </c>
      <c r="O258" s="93"/>
      <c r="P258" s="90">
        <v>2658000</v>
      </c>
      <c r="Q258" s="93"/>
      <c r="R258" s="90">
        <v>0</v>
      </c>
    </row>
    <row r="259" spans="1:18" x14ac:dyDescent="0.15">
      <c r="A259" s="86"/>
      <c r="C259" s="52" t="s">
        <v>149</v>
      </c>
      <c r="D259" s="52"/>
      <c r="E259" s="91"/>
      <c r="F259" s="75">
        <f t="shared" si="9"/>
        <v>4000</v>
      </c>
      <c r="G259" s="92"/>
      <c r="H259" s="90">
        <v>0</v>
      </c>
      <c r="I259" s="93"/>
      <c r="J259" s="90">
        <v>2000</v>
      </c>
      <c r="K259" s="93"/>
      <c r="L259" s="90">
        <v>2000</v>
      </c>
      <c r="M259" s="93"/>
      <c r="N259" s="90">
        <v>2000</v>
      </c>
      <c r="O259" s="93"/>
      <c r="P259" s="90">
        <v>2000</v>
      </c>
      <c r="Q259" s="93"/>
      <c r="R259" s="90">
        <v>0</v>
      </c>
    </row>
    <row r="260" spans="1:18" x14ac:dyDescent="0.15">
      <c r="A260" s="86"/>
      <c r="C260" s="52" t="s">
        <v>150</v>
      </c>
      <c r="D260" s="52"/>
      <c r="E260" s="91"/>
      <c r="F260" s="94">
        <f>SUM(H260:L260)</f>
        <v>1918000</v>
      </c>
      <c r="G260" s="69"/>
      <c r="H260" s="95">
        <v>1801000</v>
      </c>
      <c r="I260" s="90"/>
      <c r="J260" s="95">
        <v>38000</v>
      </c>
      <c r="K260" s="90"/>
      <c r="L260" s="95">
        <v>79000</v>
      </c>
      <c r="M260" s="90"/>
      <c r="N260" s="95">
        <v>1240000</v>
      </c>
      <c r="O260" s="90"/>
      <c r="P260" s="95">
        <v>678000</v>
      </c>
      <c r="Q260" s="90"/>
      <c r="R260" s="95">
        <v>0</v>
      </c>
    </row>
    <row r="261" spans="1:18" x14ac:dyDescent="0.15">
      <c r="A261" s="86"/>
      <c r="E261" s="52" t="s">
        <v>22</v>
      </c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</row>
    <row r="262" spans="1:18" x14ac:dyDescent="0.15">
      <c r="A262" s="86"/>
      <c r="E262" s="52" t="s">
        <v>3</v>
      </c>
      <c r="F262" s="94">
        <f>SUM(H262:L262)</f>
        <v>287515000</v>
      </c>
      <c r="G262" s="69"/>
      <c r="H262" s="94">
        <f>SUM(H188:H261)</f>
        <v>236348000</v>
      </c>
      <c r="I262" s="75"/>
      <c r="J262" s="94">
        <f>SUM(J188:J261)</f>
        <v>30769000</v>
      </c>
      <c r="K262" s="75"/>
      <c r="L262" s="94">
        <f>SUM(L188:L261)</f>
        <v>20398000</v>
      </c>
      <c r="M262" s="75"/>
      <c r="N262" s="94">
        <f>SUM(N188:N261)</f>
        <v>186029000</v>
      </c>
      <c r="O262" s="75"/>
      <c r="P262" s="94">
        <f>SUM(P188:P261)</f>
        <v>101902000</v>
      </c>
      <c r="Q262" s="75"/>
      <c r="R262" s="94">
        <f>SUM(R188:R261)</f>
        <v>416000</v>
      </c>
    </row>
    <row r="263" spans="1:18" x14ac:dyDescent="0.15">
      <c r="A263" s="86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</row>
    <row r="264" spans="1:18" x14ac:dyDescent="0.15">
      <c r="A264" s="86"/>
      <c r="B264" s="53" t="s">
        <v>24</v>
      </c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</row>
    <row r="265" spans="1:18" x14ac:dyDescent="0.15">
      <c r="A265" s="86"/>
      <c r="C265" s="52" t="s">
        <v>79</v>
      </c>
      <c r="D265" s="52"/>
      <c r="E265" s="91"/>
      <c r="F265" s="75">
        <f t="shared" ref="F265:F308" si="10">SUM(H265:L265)</f>
        <v>59000</v>
      </c>
      <c r="G265" s="92"/>
      <c r="H265" s="90">
        <v>7000</v>
      </c>
      <c r="I265" s="93"/>
      <c r="J265" s="90">
        <v>52000</v>
      </c>
      <c r="K265" s="93"/>
      <c r="L265" s="90">
        <v>0</v>
      </c>
      <c r="M265" s="93"/>
      <c r="N265" s="90">
        <v>29000</v>
      </c>
      <c r="O265" s="93"/>
      <c r="P265" s="90">
        <v>30000</v>
      </c>
      <c r="Q265" s="93"/>
      <c r="R265" s="90">
        <v>0</v>
      </c>
    </row>
    <row r="266" spans="1:18" x14ac:dyDescent="0.15">
      <c r="A266" s="86"/>
      <c r="C266" s="52" t="s">
        <v>82</v>
      </c>
      <c r="D266" s="52"/>
      <c r="E266" s="91"/>
      <c r="F266" s="75">
        <f t="shared" si="10"/>
        <v>286000</v>
      </c>
      <c r="G266" s="92"/>
      <c r="H266" s="90">
        <v>3000</v>
      </c>
      <c r="I266" s="93"/>
      <c r="J266" s="90">
        <v>9000</v>
      </c>
      <c r="K266" s="93"/>
      <c r="L266" s="90">
        <v>274000</v>
      </c>
      <c r="M266" s="93"/>
      <c r="N266" s="90">
        <v>76000</v>
      </c>
      <c r="O266" s="93"/>
      <c r="P266" s="90">
        <v>210000</v>
      </c>
      <c r="Q266" s="93"/>
      <c r="R266" s="90">
        <v>0</v>
      </c>
    </row>
    <row r="267" spans="1:18" x14ac:dyDescent="0.15">
      <c r="A267" s="86"/>
      <c r="C267" s="52" t="s">
        <v>84</v>
      </c>
      <c r="D267" s="52"/>
      <c r="E267" s="91"/>
      <c r="F267" s="75">
        <f t="shared" si="10"/>
        <v>19000</v>
      </c>
      <c r="G267" s="92"/>
      <c r="H267" s="90">
        <v>1000</v>
      </c>
      <c r="I267" s="93"/>
      <c r="J267" s="90">
        <v>10000</v>
      </c>
      <c r="K267" s="93"/>
      <c r="L267" s="90">
        <v>8000</v>
      </c>
      <c r="M267" s="93"/>
      <c r="N267" s="90">
        <v>4000</v>
      </c>
      <c r="O267" s="93"/>
      <c r="P267" s="90">
        <v>15000</v>
      </c>
      <c r="Q267" s="93"/>
      <c r="R267" s="90">
        <v>0</v>
      </c>
    </row>
    <row r="268" spans="1:18" x14ac:dyDescent="0.15">
      <c r="A268" s="86"/>
      <c r="B268" s="86"/>
      <c r="C268" s="52" t="s">
        <v>85</v>
      </c>
      <c r="D268" s="52"/>
      <c r="E268" s="91"/>
      <c r="F268" s="75">
        <f t="shared" si="10"/>
        <v>15000</v>
      </c>
      <c r="G268" s="92"/>
      <c r="H268" s="90">
        <v>6000</v>
      </c>
      <c r="I268" s="93"/>
      <c r="J268" s="90">
        <v>8000</v>
      </c>
      <c r="K268" s="93"/>
      <c r="L268" s="90">
        <v>1000</v>
      </c>
      <c r="M268" s="93"/>
      <c r="N268" s="90">
        <v>0</v>
      </c>
      <c r="O268" s="93"/>
      <c r="P268" s="90">
        <v>15000</v>
      </c>
      <c r="Q268" s="93"/>
      <c r="R268" s="90">
        <v>0</v>
      </c>
    </row>
    <row r="269" spans="1:18" x14ac:dyDescent="0.15">
      <c r="A269" s="86"/>
      <c r="B269" s="86"/>
      <c r="C269" s="52" t="s">
        <v>83</v>
      </c>
      <c r="D269" s="52"/>
      <c r="E269" s="91"/>
      <c r="F269" s="75">
        <f t="shared" si="10"/>
        <v>1270000</v>
      </c>
      <c r="G269" s="92"/>
      <c r="H269" s="90">
        <v>0</v>
      </c>
      <c r="I269" s="93"/>
      <c r="J269" s="90">
        <v>99000</v>
      </c>
      <c r="K269" s="93"/>
      <c r="L269" s="90">
        <v>1171000</v>
      </c>
      <c r="M269" s="93"/>
      <c r="N269" s="90">
        <v>944000</v>
      </c>
      <c r="O269" s="93"/>
      <c r="P269" s="90">
        <v>326000</v>
      </c>
      <c r="Q269" s="93"/>
      <c r="R269" s="90">
        <v>0</v>
      </c>
    </row>
    <row r="270" spans="1:18" x14ac:dyDescent="0.15">
      <c r="A270" s="86"/>
      <c r="B270" s="86"/>
      <c r="C270" s="52" t="s">
        <v>86</v>
      </c>
      <c r="D270" s="52"/>
      <c r="E270" s="91"/>
      <c r="F270" s="75">
        <f t="shared" si="10"/>
        <v>2851000</v>
      </c>
      <c r="G270" s="92"/>
      <c r="H270" s="90">
        <v>34000</v>
      </c>
      <c r="I270" s="93"/>
      <c r="J270" s="90">
        <v>12000</v>
      </c>
      <c r="K270" s="93"/>
      <c r="L270" s="90">
        <v>2805000</v>
      </c>
      <c r="M270" s="93"/>
      <c r="N270" s="90">
        <v>1942000</v>
      </c>
      <c r="O270" s="93"/>
      <c r="P270" s="90">
        <v>909000</v>
      </c>
      <c r="Q270" s="93"/>
      <c r="R270" s="90">
        <v>0</v>
      </c>
    </row>
    <row r="271" spans="1:18" x14ac:dyDescent="0.15">
      <c r="A271" s="86"/>
      <c r="B271" s="86"/>
      <c r="C271" s="52" t="s">
        <v>87</v>
      </c>
      <c r="D271" s="52"/>
      <c r="E271" s="91"/>
      <c r="F271" s="75">
        <f t="shared" si="10"/>
        <v>491000</v>
      </c>
      <c r="G271" s="92"/>
      <c r="H271" s="90">
        <v>0</v>
      </c>
      <c r="I271" s="93"/>
      <c r="J271" s="90">
        <v>16000</v>
      </c>
      <c r="K271" s="93"/>
      <c r="L271" s="90">
        <v>475000</v>
      </c>
      <c r="M271" s="93"/>
      <c r="N271" s="90">
        <v>203000</v>
      </c>
      <c r="O271" s="93"/>
      <c r="P271" s="90">
        <v>288000</v>
      </c>
      <c r="Q271" s="93"/>
      <c r="R271" s="90">
        <v>0</v>
      </c>
    </row>
    <row r="272" spans="1:18" x14ac:dyDescent="0.15">
      <c r="A272" s="86"/>
      <c r="B272" s="86"/>
      <c r="C272" s="52" t="s">
        <v>92</v>
      </c>
      <c r="D272" s="52"/>
      <c r="E272" s="91"/>
      <c r="F272" s="75">
        <f t="shared" si="10"/>
        <v>1140000</v>
      </c>
      <c r="G272" s="92"/>
      <c r="H272" s="90">
        <v>88000</v>
      </c>
      <c r="I272" s="93"/>
      <c r="J272" s="90">
        <v>68000</v>
      </c>
      <c r="K272" s="93"/>
      <c r="L272" s="90">
        <v>984000</v>
      </c>
      <c r="M272" s="93"/>
      <c r="N272" s="90">
        <v>526000</v>
      </c>
      <c r="O272" s="93"/>
      <c r="P272" s="90">
        <v>614000</v>
      </c>
      <c r="Q272" s="93"/>
      <c r="R272" s="90">
        <v>0</v>
      </c>
    </row>
    <row r="273" spans="1:18" x14ac:dyDescent="0.15">
      <c r="A273" s="86"/>
      <c r="B273" s="86"/>
      <c r="C273" s="52" t="s">
        <v>95</v>
      </c>
      <c r="D273" s="52"/>
      <c r="E273" s="91"/>
      <c r="F273" s="75">
        <f t="shared" si="10"/>
        <v>3000</v>
      </c>
      <c r="G273" s="92"/>
      <c r="H273" s="90">
        <v>0</v>
      </c>
      <c r="I273" s="93"/>
      <c r="J273" s="90">
        <v>3000</v>
      </c>
      <c r="K273" s="93"/>
      <c r="L273" s="90">
        <v>0</v>
      </c>
      <c r="M273" s="93"/>
      <c r="N273" s="90">
        <v>0</v>
      </c>
      <c r="O273" s="93"/>
      <c r="P273" s="90">
        <v>3000</v>
      </c>
      <c r="Q273" s="93"/>
      <c r="R273" s="90">
        <v>0</v>
      </c>
    </row>
    <row r="274" spans="1:18" x14ac:dyDescent="0.15">
      <c r="A274" s="86"/>
      <c r="B274" s="86"/>
      <c r="C274" s="52" t="s">
        <v>98</v>
      </c>
      <c r="D274" s="52"/>
      <c r="E274" s="91"/>
      <c r="F274" s="75">
        <f t="shared" si="10"/>
        <v>26000</v>
      </c>
      <c r="G274" s="92"/>
      <c r="H274" s="90">
        <v>27000</v>
      </c>
      <c r="I274" s="93"/>
      <c r="J274" s="90">
        <v>1000</v>
      </c>
      <c r="K274" s="93"/>
      <c r="L274" s="90">
        <v>-2000</v>
      </c>
      <c r="M274" s="93"/>
      <c r="N274" s="90">
        <v>19000</v>
      </c>
      <c r="O274" s="93"/>
      <c r="P274" s="90">
        <v>7000</v>
      </c>
      <c r="Q274" s="93"/>
      <c r="R274" s="90">
        <v>0</v>
      </c>
    </row>
    <row r="275" spans="1:18" x14ac:dyDescent="0.15">
      <c r="A275" s="86"/>
      <c r="B275" s="86"/>
      <c r="C275" s="52" t="s">
        <v>101</v>
      </c>
      <c r="D275" s="52"/>
      <c r="E275" s="91"/>
      <c r="F275" s="75">
        <f t="shared" si="10"/>
        <v>4786000</v>
      </c>
      <c r="G275" s="92"/>
      <c r="H275" s="90">
        <v>13000</v>
      </c>
      <c r="I275" s="93"/>
      <c r="J275" s="90">
        <v>43000</v>
      </c>
      <c r="K275" s="93"/>
      <c r="L275" s="90">
        <v>4730000</v>
      </c>
      <c r="M275" s="93"/>
      <c r="N275" s="90">
        <v>2451000</v>
      </c>
      <c r="O275" s="93"/>
      <c r="P275" s="90">
        <v>2335000</v>
      </c>
      <c r="Q275" s="93"/>
      <c r="R275" s="90"/>
    </row>
    <row r="276" spans="1:18" x14ac:dyDescent="0.15">
      <c r="A276" s="86"/>
      <c r="B276" s="86"/>
      <c r="C276" s="52" t="s">
        <v>151</v>
      </c>
      <c r="D276" s="52"/>
      <c r="E276" s="91"/>
      <c r="F276" s="75">
        <f t="shared" si="10"/>
        <v>22000</v>
      </c>
      <c r="G276" s="92"/>
      <c r="H276" s="90">
        <v>1000</v>
      </c>
      <c r="I276" s="93"/>
      <c r="J276" s="90">
        <v>7000</v>
      </c>
      <c r="K276" s="93"/>
      <c r="L276" s="90">
        <v>14000</v>
      </c>
      <c r="M276" s="93"/>
      <c r="N276" s="90">
        <v>9000</v>
      </c>
      <c r="O276" s="93"/>
      <c r="P276" s="90">
        <v>13000</v>
      </c>
      <c r="Q276" s="93"/>
      <c r="R276" s="90">
        <v>0</v>
      </c>
    </row>
    <row r="277" spans="1:18" x14ac:dyDescent="0.15">
      <c r="A277" s="86"/>
      <c r="B277" s="86"/>
      <c r="C277" s="52" t="s">
        <v>152</v>
      </c>
      <c r="D277" s="52"/>
      <c r="E277" s="91"/>
      <c r="F277" s="75">
        <f t="shared" si="10"/>
        <v>326000</v>
      </c>
      <c r="G277" s="92"/>
      <c r="H277" s="90">
        <v>45000</v>
      </c>
      <c r="I277" s="93"/>
      <c r="J277" s="90">
        <v>49000</v>
      </c>
      <c r="K277" s="93"/>
      <c r="L277" s="90">
        <v>232000</v>
      </c>
      <c r="M277" s="93"/>
      <c r="N277" s="90">
        <v>191000</v>
      </c>
      <c r="O277" s="93"/>
      <c r="P277" s="90">
        <v>135000</v>
      </c>
      <c r="Q277" s="93"/>
      <c r="R277" s="90">
        <v>0</v>
      </c>
    </row>
    <row r="278" spans="1:18" x14ac:dyDescent="0.15">
      <c r="A278" s="86"/>
      <c r="B278" s="86"/>
      <c r="C278" s="52" t="s">
        <v>105</v>
      </c>
      <c r="D278" s="52"/>
      <c r="E278" s="91"/>
      <c r="F278" s="75">
        <f t="shared" si="10"/>
        <v>513000</v>
      </c>
      <c r="G278" s="92"/>
      <c r="H278" s="90">
        <v>51000</v>
      </c>
      <c r="I278" s="93"/>
      <c r="J278" s="90">
        <v>137000</v>
      </c>
      <c r="K278" s="93"/>
      <c r="L278" s="90">
        <v>325000</v>
      </c>
      <c r="M278" s="93"/>
      <c r="N278" s="90">
        <v>88000</v>
      </c>
      <c r="O278" s="93"/>
      <c r="P278" s="90">
        <v>425000</v>
      </c>
      <c r="Q278" s="93"/>
      <c r="R278" s="90">
        <v>0</v>
      </c>
    </row>
    <row r="279" spans="1:18" x14ac:dyDescent="0.15">
      <c r="A279" s="86"/>
      <c r="B279" s="86"/>
      <c r="C279" s="52" t="s">
        <v>106</v>
      </c>
      <c r="D279" s="52"/>
      <c r="E279" s="91"/>
      <c r="F279" s="75">
        <f t="shared" si="10"/>
        <v>108000</v>
      </c>
      <c r="G279" s="92"/>
      <c r="H279" s="90">
        <v>8000</v>
      </c>
      <c r="I279" s="93"/>
      <c r="J279" s="90">
        <v>85000</v>
      </c>
      <c r="K279" s="93"/>
      <c r="L279" s="90">
        <v>15000</v>
      </c>
      <c r="M279" s="93"/>
      <c r="N279" s="90">
        <v>27000</v>
      </c>
      <c r="O279" s="93"/>
      <c r="P279" s="90">
        <v>81000</v>
      </c>
      <c r="Q279" s="93"/>
      <c r="R279" s="90">
        <v>0</v>
      </c>
    </row>
    <row r="280" spans="1:18" x14ac:dyDescent="0.15">
      <c r="A280" s="86"/>
      <c r="B280" s="86"/>
      <c r="C280" s="52" t="s">
        <v>107</v>
      </c>
      <c r="D280" s="52"/>
      <c r="E280" s="91"/>
      <c r="F280" s="75">
        <f t="shared" si="10"/>
        <v>6000</v>
      </c>
      <c r="G280" s="92"/>
      <c r="H280" s="90">
        <v>0</v>
      </c>
      <c r="I280" s="93"/>
      <c r="J280" s="90">
        <v>5000</v>
      </c>
      <c r="K280" s="93"/>
      <c r="L280" s="90">
        <v>1000</v>
      </c>
      <c r="M280" s="93"/>
      <c r="N280" s="90">
        <v>0</v>
      </c>
      <c r="O280" s="93"/>
      <c r="P280" s="90">
        <v>6000</v>
      </c>
      <c r="Q280" s="93"/>
      <c r="R280" s="90">
        <v>0</v>
      </c>
    </row>
    <row r="281" spans="1:18" x14ac:dyDescent="0.15">
      <c r="A281" s="86"/>
      <c r="B281" s="86"/>
      <c r="C281" s="52" t="s">
        <v>108</v>
      </c>
      <c r="D281" s="52"/>
      <c r="E281" s="91"/>
      <c r="F281" s="75">
        <f t="shared" si="10"/>
        <v>35000</v>
      </c>
      <c r="G281" s="92"/>
      <c r="H281" s="90">
        <v>8000</v>
      </c>
      <c r="I281" s="93"/>
      <c r="J281" s="90">
        <v>26000</v>
      </c>
      <c r="K281" s="93"/>
      <c r="L281" s="90">
        <v>1000</v>
      </c>
      <c r="M281" s="93"/>
      <c r="N281" s="90">
        <v>2000</v>
      </c>
      <c r="O281" s="93"/>
      <c r="P281" s="90">
        <v>33000</v>
      </c>
      <c r="Q281" s="93"/>
      <c r="R281" s="90">
        <v>0</v>
      </c>
    </row>
    <row r="282" spans="1:18" x14ac:dyDescent="0.15">
      <c r="A282" s="86"/>
      <c r="B282" s="86"/>
      <c r="C282" s="52" t="s">
        <v>109</v>
      </c>
      <c r="D282" s="52"/>
      <c r="E282" s="91"/>
      <c r="F282" s="75">
        <f t="shared" si="10"/>
        <v>334000</v>
      </c>
      <c r="G282" s="92"/>
      <c r="H282" s="90">
        <v>4000</v>
      </c>
      <c r="I282" s="93"/>
      <c r="J282" s="90">
        <v>35000</v>
      </c>
      <c r="K282" s="93"/>
      <c r="L282" s="90">
        <v>295000</v>
      </c>
      <c r="M282" s="93"/>
      <c r="N282" s="90">
        <v>122000</v>
      </c>
      <c r="O282" s="93"/>
      <c r="P282" s="90">
        <v>212000</v>
      </c>
      <c r="Q282" s="93"/>
      <c r="R282" s="90">
        <v>0</v>
      </c>
    </row>
    <row r="283" spans="1:18" x14ac:dyDescent="0.15">
      <c r="A283" s="86"/>
      <c r="B283" s="86"/>
      <c r="C283" s="52" t="s">
        <v>110</v>
      </c>
      <c r="D283" s="52"/>
      <c r="E283" s="91"/>
      <c r="F283" s="75">
        <f t="shared" si="10"/>
        <v>102000</v>
      </c>
      <c r="G283" s="92"/>
      <c r="H283" s="90">
        <v>14000</v>
      </c>
      <c r="I283" s="93"/>
      <c r="J283" s="90">
        <v>10000</v>
      </c>
      <c r="K283" s="93"/>
      <c r="L283" s="90">
        <v>78000</v>
      </c>
      <c r="M283" s="93"/>
      <c r="N283" s="90">
        <v>88000</v>
      </c>
      <c r="O283" s="93"/>
      <c r="P283" s="90">
        <v>14000</v>
      </c>
      <c r="Q283" s="93"/>
      <c r="R283" s="90">
        <v>0</v>
      </c>
    </row>
    <row r="284" spans="1:18" x14ac:dyDescent="0.15">
      <c r="A284" s="86"/>
      <c r="B284" s="86"/>
      <c r="C284" s="52" t="s">
        <v>112</v>
      </c>
      <c r="D284" s="52"/>
      <c r="E284" s="91"/>
      <c r="F284" s="75">
        <f t="shared" si="10"/>
        <v>66000</v>
      </c>
      <c r="G284" s="92"/>
      <c r="H284" s="90">
        <v>17000</v>
      </c>
      <c r="I284" s="93"/>
      <c r="J284" s="90">
        <v>20000</v>
      </c>
      <c r="K284" s="93"/>
      <c r="L284" s="90">
        <v>29000</v>
      </c>
      <c r="M284" s="93"/>
      <c r="N284" s="90">
        <v>23000</v>
      </c>
      <c r="O284" s="93"/>
      <c r="P284" s="90">
        <v>43000</v>
      </c>
      <c r="Q284" s="93"/>
      <c r="R284" s="90">
        <v>0</v>
      </c>
    </row>
    <row r="285" spans="1:18" x14ac:dyDescent="0.15">
      <c r="A285" s="86"/>
      <c r="B285" s="86"/>
      <c r="C285" s="52" t="s">
        <v>154</v>
      </c>
      <c r="D285" s="52"/>
      <c r="E285" s="91"/>
      <c r="F285" s="75">
        <f t="shared" si="10"/>
        <v>261000</v>
      </c>
      <c r="G285" s="92"/>
      <c r="H285" s="90">
        <v>0</v>
      </c>
      <c r="I285" s="93"/>
      <c r="J285" s="90">
        <v>0</v>
      </c>
      <c r="K285" s="93"/>
      <c r="L285" s="90">
        <v>261000</v>
      </c>
      <c r="M285" s="93"/>
      <c r="N285" s="90">
        <v>217000</v>
      </c>
      <c r="O285" s="93"/>
      <c r="P285" s="90">
        <v>44000</v>
      </c>
      <c r="Q285" s="93"/>
      <c r="R285" s="90">
        <v>0</v>
      </c>
    </row>
    <row r="286" spans="1:18" x14ac:dyDescent="0.15">
      <c r="A286" s="86"/>
      <c r="B286" s="86"/>
      <c r="C286" s="52" t="s">
        <v>155</v>
      </c>
      <c r="D286" s="52"/>
      <c r="E286" s="91"/>
      <c r="F286" s="75">
        <f t="shared" si="10"/>
        <v>3099000</v>
      </c>
      <c r="G286" s="92"/>
      <c r="H286" s="90">
        <v>46000</v>
      </c>
      <c r="I286" s="93"/>
      <c r="J286" s="90">
        <v>301000</v>
      </c>
      <c r="K286" s="93"/>
      <c r="L286" s="90">
        <v>2752000</v>
      </c>
      <c r="M286" s="93"/>
      <c r="N286" s="90">
        <v>1721000</v>
      </c>
      <c r="O286" s="93"/>
      <c r="P286" s="90">
        <v>1378000</v>
      </c>
      <c r="Q286" s="93"/>
      <c r="R286" s="90">
        <v>0</v>
      </c>
    </row>
    <row r="287" spans="1:18" x14ac:dyDescent="0.15">
      <c r="A287" s="86"/>
      <c r="B287" s="86"/>
      <c r="C287" s="52" t="s">
        <v>156</v>
      </c>
      <c r="D287" s="52"/>
      <c r="E287" s="91"/>
      <c r="F287" s="75">
        <f t="shared" si="10"/>
        <v>5000</v>
      </c>
      <c r="G287" s="92"/>
      <c r="H287" s="90">
        <v>0</v>
      </c>
      <c r="I287" s="93"/>
      <c r="J287" s="90">
        <v>0</v>
      </c>
      <c r="K287" s="93"/>
      <c r="L287" s="90">
        <v>5000</v>
      </c>
      <c r="M287" s="93"/>
      <c r="N287" s="90">
        <v>5000</v>
      </c>
      <c r="O287" s="93"/>
      <c r="P287" s="90">
        <v>0</v>
      </c>
      <c r="Q287" s="93"/>
      <c r="R287" s="90">
        <v>0</v>
      </c>
    </row>
    <row r="288" spans="1:18" x14ac:dyDescent="0.15">
      <c r="A288" s="86"/>
      <c r="B288" s="86"/>
      <c r="C288" s="52" t="s">
        <v>117</v>
      </c>
      <c r="D288" s="52"/>
      <c r="E288" s="91"/>
      <c r="F288" s="75">
        <f t="shared" si="10"/>
        <v>34000</v>
      </c>
      <c r="G288" s="92"/>
      <c r="H288" s="90">
        <v>5000</v>
      </c>
      <c r="I288" s="93"/>
      <c r="J288" s="90">
        <v>6000</v>
      </c>
      <c r="K288" s="93"/>
      <c r="L288" s="90">
        <v>23000</v>
      </c>
      <c r="M288" s="93"/>
      <c r="N288" s="90">
        <v>0</v>
      </c>
      <c r="O288" s="93"/>
      <c r="P288" s="90">
        <v>34000</v>
      </c>
      <c r="Q288" s="93"/>
      <c r="R288" s="90">
        <v>0</v>
      </c>
    </row>
    <row r="289" spans="1:18" x14ac:dyDescent="0.15">
      <c r="A289" s="86"/>
      <c r="B289" s="86"/>
      <c r="C289" s="52" t="s">
        <v>158</v>
      </c>
      <c r="D289" s="52"/>
      <c r="E289" s="91"/>
      <c r="F289" s="75">
        <f t="shared" si="10"/>
        <v>1217000</v>
      </c>
      <c r="G289" s="92"/>
      <c r="H289" s="90">
        <v>0</v>
      </c>
      <c r="I289" s="93"/>
      <c r="J289" s="90">
        <v>0</v>
      </c>
      <c r="K289" s="93"/>
      <c r="L289" s="90">
        <v>1217000</v>
      </c>
      <c r="M289" s="93"/>
      <c r="N289" s="90">
        <v>0</v>
      </c>
      <c r="O289" s="93"/>
      <c r="P289" s="90">
        <v>1217000</v>
      </c>
      <c r="Q289" s="93"/>
      <c r="R289" s="90">
        <v>0</v>
      </c>
    </row>
    <row r="290" spans="1:18" x14ac:dyDescent="0.15">
      <c r="A290" s="86"/>
      <c r="B290" s="86"/>
      <c r="C290" s="52" t="s">
        <v>159</v>
      </c>
      <c r="D290" s="52"/>
      <c r="E290" s="91"/>
      <c r="F290" s="75">
        <f t="shared" si="10"/>
        <v>571000</v>
      </c>
      <c r="G290" s="92"/>
      <c r="H290" s="90">
        <v>22000</v>
      </c>
      <c r="I290" s="93"/>
      <c r="J290" s="90">
        <v>23000</v>
      </c>
      <c r="K290" s="93"/>
      <c r="L290" s="90">
        <v>526000</v>
      </c>
      <c r="M290" s="93"/>
      <c r="N290" s="90">
        <v>308000</v>
      </c>
      <c r="O290" s="93"/>
      <c r="P290" s="90">
        <v>263000</v>
      </c>
      <c r="Q290" s="93"/>
      <c r="R290" s="90">
        <v>0</v>
      </c>
    </row>
    <row r="291" spans="1:18" x14ac:dyDescent="0.15">
      <c r="A291" s="86"/>
      <c r="B291" s="86"/>
      <c r="C291" s="52" t="s">
        <v>122</v>
      </c>
      <c r="D291" s="52"/>
      <c r="E291" s="91"/>
      <c r="F291" s="75">
        <f t="shared" si="10"/>
        <v>41000</v>
      </c>
      <c r="G291" s="92"/>
      <c r="H291" s="90">
        <v>1000</v>
      </c>
      <c r="I291" s="93"/>
      <c r="J291" s="90">
        <v>4000</v>
      </c>
      <c r="K291" s="93"/>
      <c r="L291" s="90">
        <v>36000</v>
      </c>
      <c r="M291" s="93"/>
      <c r="N291" s="90">
        <v>6000</v>
      </c>
      <c r="O291" s="93"/>
      <c r="P291" s="90">
        <v>35000</v>
      </c>
      <c r="Q291" s="93"/>
      <c r="R291" s="90">
        <v>0</v>
      </c>
    </row>
    <row r="292" spans="1:18" x14ac:dyDescent="0.15">
      <c r="A292" s="86"/>
      <c r="B292" s="86"/>
      <c r="C292" s="52" t="s">
        <v>125</v>
      </c>
      <c r="D292" s="52"/>
      <c r="E292" s="91"/>
      <c r="F292" s="75">
        <f t="shared" si="10"/>
        <v>28512000</v>
      </c>
      <c r="G292" s="92"/>
      <c r="H292" s="90">
        <v>254000</v>
      </c>
      <c r="I292" s="93"/>
      <c r="J292" s="90">
        <v>506000</v>
      </c>
      <c r="K292" s="93"/>
      <c r="L292" s="90">
        <v>27752000</v>
      </c>
      <c r="M292" s="93"/>
      <c r="N292" s="90">
        <v>13986000</v>
      </c>
      <c r="O292" s="93"/>
      <c r="P292" s="90">
        <v>14526000</v>
      </c>
      <c r="Q292" s="93"/>
      <c r="R292" s="90">
        <v>0</v>
      </c>
    </row>
    <row r="293" spans="1:18" x14ac:dyDescent="0.15">
      <c r="A293" s="86"/>
      <c r="B293" s="86"/>
      <c r="C293" s="52" t="s">
        <v>160</v>
      </c>
      <c r="D293" s="52"/>
      <c r="E293" s="91"/>
      <c r="F293" s="75">
        <f t="shared" si="10"/>
        <v>291000</v>
      </c>
      <c r="G293" s="92"/>
      <c r="H293" s="90">
        <v>16000</v>
      </c>
      <c r="I293" s="93"/>
      <c r="J293" s="90">
        <v>46000</v>
      </c>
      <c r="K293" s="93"/>
      <c r="L293" s="90">
        <v>229000</v>
      </c>
      <c r="M293" s="93"/>
      <c r="N293" s="90">
        <v>80000</v>
      </c>
      <c r="O293" s="93"/>
      <c r="P293" s="90">
        <v>211000</v>
      </c>
      <c r="Q293" s="93"/>
      <c r="R293" s="90">
        <v>0</v>
      </c>
    </row>
    <row r="294" spans="1:18" x14ac:dyDescent="0.15">
      <c r="A294" s="86"/>
      <c r="B294" s="86"/>
      <c r="C294" s="52" t="s">
        <v>127</v>
      </c>
      <c r="D294" s="52"/>
      <c r="E294" s="91"/>
      <c r="F294" s="75">
        <f t="shared" si="10"/>
        <v>15000</v>
      </c>
      <c r="G294" s="92"/>
      <c r="H294" s="90">
        <v>1000</v>
      </c>
      <c r="I294" s="93"/>
      <c r="J294" s="90">
        <v>10000</v>
      </c>
      <c r="K294" s="93"/>
      <c r="L294" s="90">
        <v>4000</v>
      </c>
      <c r="M294" s="93"/>
      <c r="N294" s="90">
        <v>0</v>
      </c>
      <c r="O294" s="93"/>
      <c r="P294" s="90">
        <v>15000</v>
      </c>
      <c r="Q294" s="93"/>
      <c r="R294" s="90">
        <v>0</v>
      </c>
    </row>
    <row r="295" spans="1:18" x14ac:dyDescent="0.15">
      <c r="A295" s="86"/>
      <c r="B295" s="86"/>
      <c r="C295" s="52" t="s">
        <v>161</v>
      </c>
      <c r="D295" s="52"/>
      <c r="E295" s="91"/>
      <c r="F295" s="75">
        <f t="shared" si="10"/>
        <v>16000</v>
      </c>
      <c r="G295" s="92"/>
      <c r="H295" s="90">
        <v>0</v>
      </c>
      <c r="I295" s="93"/>
      <c r="J295" s="90">
        <v>8000</v>
      </c>
      <c r="K295" s="93"/>
      <c r="L295" s="90">
        <v>8000</v>
      </c>
      <c r="M295" s="93"/>
      <c r="N295" s="90">
        <v>3000</v>
      </c>
      <c r="O295" s="93"/>
      <c r="P295" s="90">
        <v>13000</v>
      </c>
      <c r="Q295" s="93"/>
      <c r="R295" s="90">
        <v>0</v>
      </c>
    </row>
    <row r="296" spans="1:18" x14ac:dyDescent="0.15">
      <c r="A296" s="86"/>
      <c r="B296" s="86"/>
      <c r="C296" s="52" t="s">
        <v>130</v>
      </c>
      <c r="D296" s="52"/>
      <c r="E296" s="91"/>
      <c r="F296" s="75">
        <f t="shared" si="10"/>
        <v>660000</v>
      </c>
      <c r="G296" s="92"/>
      <c r="H296" s="90">
        <v>1000</v>
      </c>
      <c r="I296" s="93"/>
      <c r="J296" s="90">
        <v>0</v>
      </c>
      <c r="K296" s="93"/>
      <c r="L296" s="90">
        <v>659000</v>
      </c>
      <c r="M296" s="93"/>
      <c r="N296" s="90">
        <v>165000</v>
      </c>
      <c r="O296" s="93"/>
      <c r="P296" s="90">
        <v>495000</v>
      </c>
      <c r="Q296" s="93"/>
      <c r="R296" s="90">
        <v>0</v>
      </c>
    </row>
    <row r="297" spans="1:18" x14ac:dyDescent="0.15">
      <c r="A297" s="86"/>
      <c r="B297" s="86"/>
      <c r="C297" s="52" t="s">
        <v>131</v>
      </c>
      <c r="D297" s="52"/>
      <c r="E297" s="91"/>
      <c r="F297" s="75">
        <f t="shared" si="10"/>
        <v>15022000</v>
      </c>
      <c r="G297" s="92"/>
      <c r="H297" s="90">
        <v>62000</v>
      </c>
      <c r="I297" s="93"/>
      <c r="J297" s="90">
        <v>3000</v>
      </c>
      <c r="K297" s="93"/>
      <c r="L297" s="90">
        <v>14957000</v>
      </c>
      <c r="M297" s="93"/>
      <c r="N297" s="90">
        <v>6270000</v>
      </c>
      <c r="O297" s="93"/>
      <c r="P297" s="90">
        <v>8752000</v>
      </c>
      <c r="Q297" s="93"/>
      <c r="R297" s="90">
        <v>0</v>
      </c>
    </row>
    <row r="298" spans="1:18" x14ac:dyDescent="0.15">
      <c r="A298" s="86"/>
      <c r="B298" s="86"/>
      <c r="C298" s="52" t="s">
        <v>132</v>
      </c>
      <c r="D298" s="52"/>
      <c r="E298" s="91"/>
      <c r="F298" s="75">
        <f t="shared" si="10"/>
        <v>135000</v>
      </c>
      <c r="G298" s="92"/>
      <c r="H298" s="90">
        <v>0</v>
      </c>
      <c r="I298" s="93"/>
      <c r="J298" s="90">
        <v>4000</v>
      </c>
      <c r="K298" s="93"/>
      <c r="L298" s="90">
        <v>131000</v>
      </c>
      <c r="M298" s="93"/>
      <c r="N298" s="90">
        <v>110000</v>
      </c>
      <c r="O298" s="93"/>
      <c r="P298" s="90">
        <v>25000</v>
      </c>
      <c r="Q298" s="93"/>
      <c r="R298" s="90">
        <v>0</v>
      </c>
    </row>
    <row r="299" spans="1:18" x14ac:dyDescent="0.15">
      <c r="A299" s="86"/>
      <c r="B299" s="86"/>
      <c r="C299" s="52" t="s">
        <v>133</v>
      </c>
      <c r="D299" s="52"/>
      <c r="E299" s="91"/>
      <c r="F299" s="75">
        <f t="shared" si="10"/>
        <v>2302000</v>
      </c>
      <c r="G299" s="92"/>
      <c r="H299" s="90">
        <v>11000</v>
      </c>
      <c r="I299" s="93"/>
      <c r="J299" s="90">
        <v>62000</v>
      </c>
      <c r="K299" s="93"/>
      <c r="L299" s="90">
        <v>2229000</v>
      </c>
      <c r="M299" s="93"/>
      <c r="N299" s="90">
        <v>1356000</v>
      </c>
      <c r="O299" s="93"/>
      <c r="P299" s="90">
        <v>946000</v>
      </c>
      <c r="Q299" s="93"/>
      <c r="R299" s="90">
        <v>0</v>
      </c>
    </row>
    <row r="300" spans="1:18" x14ac:dyDescent="0.15">
      <c r="A300" s="86"/>
      <c r="B300" s="86"/>
      <c r="C300" s="52" t="s">
        <v>134</v>
      </c>
      <c r="D300" s="52"/>
      <c r="E300" s="91"/>
      <c r="F300" s="75">
        <f t="shared" si="10"/>
        <v>67000</v>
      </c>
      <c r="G300" s="92"/>
      <c r="H300" s="90">
        <v>0</v>
      </c>
      <c r="I300" s="93"/>
      <c r="J300" s="90">
        <v>16000</v>
      </c>
      <c r="K300" s="93"/>
      <c r="L300" s="90">
        <v>51000</v>
      </c>
      <c r="M300" s="93"/>
      <c r="N300" s="90">
        <v>12000</v>
      </c>
      <c r="O300" s="93"/>
      <c r="P300" s="90">
        <v>55000</v>
      </c>
      <c r="Q300" s="93"/>
      <c r="R300" s="90">
        <v>0</v>
      </c>
    </row>
    <row r="301" spans="1:18" x14ac:dyDescent="0.15">
      <c r="A301" s="86"/>
      <c r="B301" s="86"/>
      <c r="C301" s="52" t="s">
        <v>137</v>
      </c>
      <c r="D301" s="52"/>
      <c r="E301" s="91"/>
      <c r="F301" s="75">
        <f t="shared" si="10"/>
        <v>60000</v>
      </c>
      <c r="G301" s="92"/>
      <c r="H301" s="90">
        <v>0</v>
      </c>
      <c r="I301" s="93"/>
      <c r="J301" s="90">
        <v>54000</v>
      </c>
      <c r="K301" s="93"/>
      <c r="L301" s="90">
        <v>6000</v>
      </c>
      <c r="M301" s="93"/>
      <c r="N301" s="90">
        <v>33000</v>
      </c>
      <c r="O301" s="93"/>
      <c r="P301" s="90">
        <v>27000</v>
      </c>
      <c r="Q301" s="93"/>
      <c r="R301" s="90">
        <v>0</v>
      </c>
    </row>
    <row r="302" spans="1:18" x14ac:dyDescent="0.15">
      <c r="A302" s="86"/>
      <c r="B302" s="86"/>
      <c r="C302" s="52" t="s">
        <v>138</v>
      </c>
      <c r="D302" s="52"/>
      <c r="E302" s="91"/>
      <c r="F302" s="75">
        <f t="shared" si="10"/>
        <v>73000</v>
      </c>
      <c r="G302" s="92"/>
      <c r="H302" s="90">
        <v>0</v>
      </c>
      <c r="I302" s="93"/>
      <c r="J302" s="90">
        <v>38000</v>
      </c>
      <c r="K302" s="93"/>
      <c r="L302" s="90">
        <v>35000</v>
      </c>
      <c r="M302" s="93"/>
      <c r="N302" s="90">
        <v>4000</v>
      </c>
      <c r="O302" s="93"/>
      <c r="P302" s="90">
        <v>69000</v>
      </c>
      <c r="Q302" s="93"/>
      <c r="R302" s="90">
        <v>0</v>
      </c>
    </row>
    <row r="303" spans="1:18" x14ac:dyDescent="0.15">
      <c r="A303" s="86"/>
      <c r="B303" s="86"/>
      <c r="C303" s="52" t="s">
        <v>140</v>
      </c>
      <c r="D303" s="52"/>
      <c r="E303" s="91"/>
      <c r="F303" s="75">
        <f t="shared" si="10"/>
        <v>550000</v>
      </c>
      <c r="G303" s="92"/>
      <c r="H303" s="90">
        <v>26000</v>
      </c>
      <c r="I303" s="93"/>
      <c r="J303" s="90">
        <v>58000</v>
      </c>
      <c r="K303" s="93"/>
      <c r="L303" s="90">
        <v>466000</v>
      </c>
      <c r="M303" s="93"/>
      <c r="N303" s="90">
        <v>260000</v>
      </c>
      <c r="O303" s="93"/>
      <c r="P303" s="90">
        <v>290000</v>
      </c>
      <c r="Q303" s="93"/>
      <c r="R303" s="90">
        <v>0</v>
      </c>
    </row>
    <row r="304" spans="1:18" x14ac:dyDescent="0.15">
      <c r="A304" s="86"/>
      <c r="B304" s="86"/>
      <c r="C304" s="52" t="s">
        <v>141</v>
      </c>
      <c r="D304" s="52"/>
      <c r="E304" s="91"/>
      <c r="F304" s="75">
        <f t="shared" si="10"/>
        <v>25000</v>
      </c>
      <c r="G304" s="92"/>
      <c r="H304" s="90">
        <v>4000</v>
      </c>
      <c r="I304" s="93"/>
      <c r="J304" s="90">
        <v>16000</v>
      </c>
      <c r="K304" s="93"/>
      <c r="L304" s="90">
        <v>5000</v>
      </c>
      <c r="M304" s="93"/>
      <c r="N304" s="90">
        <v>10000</v>
      </c>
      <c r="O304" s="93"/>
      <c r="P304" s="90">
        <v>15000</v>
      </c>
      <c r="Q304" s="93"/>
      <c r="R304" s="90">
        <v>0</v>
      </c>
    </row>
    <row r="305" spans="1:18" x14ac:dyDescent="0.15">
      <c r="A305" s="86"/>
      <c r="B305" s="86"/>
      <c r="C305" s="52" t="s">
        <v>142</v>
      </c>
      <c r="D305" s="52"/>
      <c r="E305" s="91"/>
      <c r="F305" s="75">
        <f t="shared" si="10"/>
        <v>1000</v>
      </c>
      <c r="G305" s="92"/>
      <c r="H305" s="90">
        <v>0</v>
      </c>
      <c r="I305" s="93"/>
      <c r="J305" s="90">
        <v>1000</v>
      </c>
      <c r="K305" s="93"/>
      <c r="L305" s="90">
        <v>0</v>
      </c>
      <c r="M305" s="93"/>
      <c r="N305" s="90">
        <v>1000</v>
      </c>
      <c r="O305" s="93"/>
      <c r="P305" s="90">
        <v>0</v>
      </c>
      <c r="Q305" s="93"/>
      <c r="R305" s="90">
        <v>0</v>
      </c>
    </row>
    <row r="306" spans="1:18" x14ac:dyDescent="0.15">
      <c r="A306" s="86"/>
      <c r="B306" s="86"/>
      <c r="C306" s="52" t="s">
        <v>143</v>
      </c>
      <c r="D306" s="52"/>
      <c r="E306" s="91"/>
      <c r="F306" s="75">
        <f t="shared" si="10"/>
        <v>104000</v>
      </c>
      <c r="G306" s="92"/>
      <c r="H306" s="90">
        <v>3000</v>
      </c>
      <c r="I306" s="93"/>
      <c r="J306" s="90">
        <v>52000</v>
      </c>
      <c r="K306" s="93"/>
      <c r="L306" s="90">
        <v>49000</v>
      </c>
      <c r="M306" s="93"/>
      <c r="N306" s="90">
        <v>10000</v>
      </c>
      <c r="O306" s="93"/>
      <c r="P306" s="90">
        <v>94000</v>
      </c>
      <c r="Q306" s="93"/>
      <c r="R306" s="90">
        <v>0</v>
      </c>
    </row>
    <row r="307" spans="1:18" x14ac:dyDescent="0.15">
      <c r="A307" s="86"/>
      <c r="B307" s="86"/>
      <c r="C307" s="52" t="s">
        <v>144</v>
      </c>
      <c r="D307" s="52"/>
      <c r="E307" s="91"/>
      <c r="F307" s="75">
        <f t="shared" si="10"/>
        <v>1589000</v>
      </c>
      <c r="G307" s="92"/>
      <c r="H307" s="90">
        <v>0</v>
      </c>
      <c r="I307" s="93"/>
      <c r="J307" s="90">
        <v>55000</v>
      </c>
      <c r="K307" s="93"/>
      <c r="L307" s="90">
        <v>1534000</v>
      </c>
      <c r="M307" s="93"/>
      <c r="N307" s="90">
        <v>1097000</v>
      </c>
      <c r="O307" s="93"/>
      <c r="P307" s="90">
        <v>492000</v>
      </c>
      <c r="Q307" s="93"/>
      <c r="R307" s="90">
        <v>0</v>
      </c>
    </row>
    <row r="308" spans="1:18" x14ac:dyDescent="0.15">
      <c r="A308" s="86"/>
      <c r="B308" s="86"/>
      <c r="C308" s="88" t="s">
        <v>162</v>
      </c>
      <c r="D308" s="88"/>
      <c r="E308" s="91"/>
      <c r="F308" s="75">
        <f t="shared" si="10"/>
        <v>815000</v>
      </c>
      <c r="G308" s="92"/>
      <c r="H308" s="90">
        <v>94000</v>
      </c>
      <c r="I308" s="93"/>
      <c r="J308" s="90">
        <v>67000</v>
      </c>
      <c r="K308" s="93"/>
      <c r="L308" s="90">
        <v>654000</v>
      </c>
      <c r="M308" s="93"/>
      <c r="N308" s="90">
        <v>476000</v>
      </c>
      <c r="O308" s="93"/>
      <c r="P308" s="90">
        <v>339000</v>
      </c>
      <c r="Q308" s="93"/>
      <c r="R308" s="90">
        <v>0</v>
      </c>
    </row>
    <row r="309" spans="1:18" x14ac:dyDescent="0.15">
      <c r="A309" s="86"/>
      <c r="B309" s="86"/>
      <c r="C309" s="52" t="s">
        <v>150</v>
      </c>
      <c r="D309" s="52"/>
      <c r="E309" s="91"/>
      <c r="F309" s="94">
        <f>SUM(H309:L309)</f>
        <v>137000</v>
      </c>
      <c r="G309" s="69"/>
      <c r="H309" s="95">
        <v>17000</v>
      </c>
      <c r="I309" s="90"/>
      <c r="J309" s="95">
        <v>104000</v>
      </c>
      <c r="K309" s="90"/>
      <c r="L309" s="95">
        <v>16000</v>
      </c>
      <c r="M309" s="90"/>
      <c r="N309" s="95">
        <v>61000</v>
      </c>
      <c r="O309" s="90"/>
      <c r="P309" s="95">
        <v>76000</v>
      </c>
      <c r="Q309" s="90"/>
      <c r="R309" s="95">
        <v>0</v>
      </c>
    </row>
    <row r="310" spans="1:18" x14ac:dyDescent="0.15">
      <c r="A310" s="86"/>
      <c r="B310" s="86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</row>
    <row r="311" spans="1:18" x14ac:dyDescent="0.15">
      <c r="A311" s="86"/>
      <c r="B311" s="86"/>
      <c r="E311" s="52" t="s">
        <v>3</v>
      </c>
      <c r="F311" s="94">
        <f>SUM(H311:L311)</f>
        <v>68060000</v>
      </c>
      <c r="G311" s="69"/>
      <c r="H311" s="94">
        <f>SUM(H265:H310)</f>
        <v>890000</v>
      </c>
      <c r="I311" s="75"/>
      <c r="J311" s="94">
        <f>SUM(J265:J310)</f>
        <v>2129000</v>
      </c>
      <c r="K311" s="75"/>
      <c r="L311" s="94">
        <f>SUM(L265:L310)</f>
        <v>65041000</v>
      </c>
      <c r="M311" s="75"/>
      <c r="N311" s="94">
        <f>SUM(N265:N310)</f>
        <v>32935000</v>
      </c>
      <c r="O311" s="75"/>
      <c r="P311" s="94">
        <f>SUM(P265:P310)</f>
        <v>35125000</v>
      </c>
      <c r="Q311" s="75"/>
      <c r="R311" s="94">
        <f>SUM(R265:R310)</f>
        <v>0</v>
      </c>
    </row>
    <row r="312" spans="1:18" x14ac:dyDescent="0.15">
      <c r="B312" s="88"/>
      <c r="C312" s="88"/>
      <c r="D312" s="88"/>
      <c r="E312" s="88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</row>
    <row r="313" spans="1:18" x14ac:dyDescent="0.15">
      <c r="B313" s="53" t="s">
        <v>28</v>
      </c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</row>
    <row r="314" spans="1:18" x14ac:dyDescent="0.15">
      <c r="C314" s="53" t="s">
        <v>87</v>
      </c>
      <c r="F314" s="75">
        <f t="shared" ref="F314:F320" si="11">SUM(H314:L314)</f>
        <v>114000</v>
      </c>
      <c r="G314" s="92"/>
      <c r="H314" s="90">
        <v>0</v>
      </c>
      <c r="I314" s="93"/>
      <c r="J314" s="90">
        <v>0</v>
      </c>
      <c r="K314" s="93"/>
      <c r="L314" s="90">
        <v>114000</v>
      </c>
      <c r="M314" s="93"/>
      <c r="N314" s="90">
        <v>25000</v>
      </c>
      <c r="O314" s="93"/>
      <c r="P314" s="90">
        <v>89000</v>
      </c>
      <c r="Q314" s="93"/>
      <c r="R314" s="90">
        <v>0</v>
      </c>
    </row>
    <row r="315" spans="1:18" x14ac:dyDescent="0.15">
      <c r="C315" s="52" t="s">
        <v>100</v>
      </c>
      <c r="D315" s="52"/>
      <c r="E315" s="91"/>
      <c r="F315" s="75">
        <f t="shared" si="11"/>
        <v>9000</v>
      </c>
      <c r="G315" s="92"/>
      <c r="H315" s="90">
        <v>0</v>
      </c>
      <c r="I315" s="93"/>
      <c r="J315" s="90">
        <v>5000</v>
      </c>
      <c r="K315" s="93"/>
      <c r="L315" s="90">
        <v>4000</v>
      </c>
      <c r="M315" s="93"/>
      <c r="N315" s="90">
        <v>8000</v>
      </c>
      <c r="O315" s="93"/>
      <c r="P315" s="90">
        <v>1000</v>
      </c>
      <c r="Q315" s="93"/>
      <c r="R315" s="90">
        <v>0</v>
      </c>
    </row>
    <row r="316" spans="1:18" x14ac:dyDescent="0.15">
      <c r="C316" s="52" t="s">
        <v>101</v>
      </c>
      <c r="D316" s="52"/>
      <c r="E316" s="91"/>
      <c r="F316" s="75">
        <f>SUM(H316:L316)</f>
        <v>599000</v>
      </c>
      <c r="G316" s="92"/>
      <c r="H316" s="90">
        <v>0</v>
      </c>
      <c r="I316" s="93"/>
      <c r="J316" s="90">
        <v>0</v>
      </c>
      <c r="K316" s="93"/>
      <c r="L316" s="90">
        <v>599000</v>
      </c>
      <c r="M316" s="93"/>
      <c r="N316" s="90">
        <v>12000</v>
      </c>
      <c r="O316" s="93"/>
      <c r="P316" s="90">
        <v>587000</v>
      </c>
      <c r="Q316" s="93"/>
      <c r="R316" s="90">
        <v>0</v>
      </c>
    </row>
    <row r="317" spans="1:18" x14ac:dyDescent="0.15">
      <c r="C317" s="52" t="s">
        <v>112</v>
      </c>
      <c r="D317" s="52"/>
      <c r="E317" s="91"/>
      <c r="F317" s="75">
        <f t="shared" si="11"/>
        <v>575000</v>
      </c>
      <c r="G317" s="92"/>
      <c r="H317" s="90">
        <v>45000</v>
      </c>
      <c r="I317" s="93"/>
      <c r="J317" s="90">
        <v>388000</v>
      </c>
      <c r="K317" s="93"/>
      <c r="L317" s="90">
        <v>142000</v>
      </c>
      <c r="M317" s="93"/>
      <c r="N317" s="90">
        <v>276000</v>
      </c>
      <c r="O317" s="93"/>
      <c r="P317" s="90">
        <v>299000</v>
      </c>
      <c r="Q317" s="93"/>
      <c r="R317" s="90">
        <v>0</v>
      </c>
    </row>
    <row r="318" spans="1:18" x14ac:dyDescent="0.15">
      <c r="C318" s="52" t="s">
        <v>159</v>
      </c>
      <c r="D318" s="52"/>
      <c r="E318" s="91"/>
      <c r="F318" s="75">
        <f t="shared" si="11"/>
        <v>29000</v>
      </c>
      <c r="G318" s="92"/>
      <c r="H318" s="90">
        <v>0</v>
      </c>
      <c r="I318" s="93"/>
      <c r="J318" s="90">
        <v>0</v>
      </c>
      <c r="K318" s="93"/>
      <c r="L318" s="90">
        <v>29000</v>
      </c>
      <c r="M318" s="93"/>
      <c r="N318" s="90">
        <v>12000</v>
      </c>
      <c r="O318" s="93"/>
      <c r="P318" s="90">
        <v>17000</v>
      </c>
      <c r="Q318" s="93"/>
      <c r="R318" s="90">
        <v>0</v>
      </c>
    </row>
    <row r="319" spans="1:18" x14ac:dyDescent="0.15">
      <c r="C319" s="52" t="s">
        <v>122</v>
      </c>
      <c r="D319" s="52"/>
      <c r="E319" s="91"/>
      <c r="F319" s="75">
        <f t="shared" si="11"/>
        <v>-3000</v>
      </c>
      <c r="G319" s="92"/>
      <c r="H319" s="90">
        <v>-3000</v>
      </c>
      <c r="I319" s="93"/>
      <c r="J319" s="90">
        <v>0</v>
      </c>
      <c r="K319" s="93"/>
      <c r="L319" s="90">
        <v>0</v>
      </c>
      <c r="M319" s="93"/>
      <c r="N319" s="90">
        <v>-2000</v>
      </c>
      <c r="O319" s="93"/>
      <c r="P319" s="90">
        <v>-1000</v>
      </c>
      <c r="Q319" s="93"/>
      <c r="R319" s="90">
        <v>0</v>
      </c>
    </row>
    <row r="320" spans="1:18" x14ac:dyDescent="0.15">
      <c r="C320" s="52" t="s">
        <v>130</v>
      </c>
      <c r="D320" s="52"/>
      <c r="E320" s="91"/>
      <c r="F320" s="75">
        <f t="shared" si="11"/>
        <v>4000</v>
      </c>
      <c r="G320" s="92"/>
      <c r="H320" s="90">
        <v>0</v>
      </c>
      <c r="I320" s="93"/>
      <c r="J320" s="90">
        <v>0</v>
      </c>
      <c r="K320" s="93"/>
      <c r="L320" s="90">
        <v>4000</v>
      </c>
      <c r="M320" s="93"/>
      <c r="N320" s="90">
        <v>3000</v>
      </c>
      <c r="O320" s="93"/>
      <c r="P320" s="90">
        <v>1000</v>
      </c>
      <c r="Q320" s="93"/>
      <c r="R320" s="90">
        <v>0</v>
      </c>
    </row>
    <row r="321" spans="1:18" x14ac:dyDescent="0.15"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</row>
    <row r="322" spans="1:18" x14ac:dyDescent="0.15">
      <c r="E322" s="52" t="s">
        <v>3</v>
      </c>
      <c r="F322" s="94">
        <f>SUM(H322:L322)</f>
        <v>1327000</v>
      </c>
      <c r="G322" s="69"/>
      <c r="H322" s="94">
        <f>SUM(H314:H321)</f>
        <v>42000</v>
      </c>
      <c r="I322" s="75"/>
      <c r="J322" s="94">
        <f>SUM(J314:J321)</f>
        <v>393000</v>
      </c>
      <c r="K322" s="75"/>
      <c r="L322" s="94">
        <f>SUM(L314:L321)</f>
        <v>892000</v>
      </c>
      <c r="M322" s="75"/>
      <c r="N322" s="94">
        <f>SUM(N314:N321)</f>
        <v>334000</v>
      </c>
      <c r="O322" s="75"/>
      <c r="P322" s="94">
        <f>SUM(P314:P321)</f>
        <v>993000</v>
      </c>
      <c r="Q322" s="75"/>
      <c r="R322" s="94">
        <f>SUM(R314:R321)</f>
        <v>0</v>
      </c>
    </row>
    <row r="323" spans="1:18" x14ac:dyDescent="0.15">
      <c r="A323" s="88"/>
      <c r="B323" s="88"/>
      <c r="C323" s="88"/>
      <c r="D323" s="88"/>
      <c r="E323" s="88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</row>
    <row r="324" spans="1:18" x14ac:dyDescent="0.15">
      <c r="B324" s="53" t="s">
        <v>29</v>
      </c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</row>
    <row r="325" spans="1:18" x14ac:dyDescent="0.15">
      <c r="C325" s="52" t="s">
        <v>86</v>
      </c>
      <c r="D325" s="52"/>
      <c r="E325" s="91"/>
      <c r="F325" s="75">
        <f>SUM(H325:L325)</f>
        <v>2000</v>
      </c>
      <c r="G325" s="92"/>
      <c r="H325" s="90">
        <v>0</v>
      </c>
      <c r="I325" s="93"/>
      <c r="J325" s="90">
        <v>2000</v>
      </c>
      <c r="K325" s="93"/>
      <c r="L325" s="90">
        <v>0</v>
      </c>
      <c r="M325" s="93"/>
      <c r="N325" s="90">
        <v>48000</v>
      </c>
      <c r="O325" s="93"/>
      <c r="P325" s="90">
        <v>49000</v>
      </c>
      <c r="Q325" s="93"/>
      <c r="R325" s="90">
        <v>95000</v>
      </c>
    </row>
    <row r="326" spans="1:18" x14ac:dyDescent="0.15">
      <c r="C326" s="52" t="s">
        <v>90</v>
      </c>
      <c r="D326" s="52"/>
      <c r="E326" s="91"/>
      <c r="G326" s="69"/>
      <c r="H326" s="90"/>
      <c r="I326" s="90"/>
      <c r="J326" s="90"/>
      <c r="K326" s="90"/>
      <c r="L326" s="90"/>
      <c r="M326" s="90"/>
      <c r="N326" s="90"/>
      <c r="O326" s="90"/>
      <c r="P326" s="90"/>
      <c r="Q326" s="90"/>
      <c r="R326" s="90"/>
    </row>
    <row r="327" spans="1:18" x14ac:dyDescent="0.15">
      <c r="A327" s="86"/>
      <c r="B327" s="86"/>
      <c r="C327" s="86"/>
      <c r="D327" s="86"/>
      <c r="E327" s="91" t="s">
        <v>91</v>
      </c>
      <c r="F327" s="75">
        <f t="shared" ref="F327:F338" si="12">SUM(H327:L327)</f>
        <v>286000</v>
      </c>
      <c r="G327" s="92"/>
      <c r="H327" s="90">
        <v>0</v>
      </c>
      <c r="I327" s="93"/>
      <c r="J327" s="90">
        <v>-22000</v>
      </c>
      <c r="K327" s="93"/>
      <c r="L327" s="90">
        <v>308000</v>
      </c>
      <c r="M327" s="93"/>
      <c r="N327" s="90">
        <v>234000</v>
      </c>
      <c r="O327" s="93"/>
      <c r="P327" s="90">
        <v>73000</v>
      </c>
      <c r="Q327" s="93"/>
      <c r="R327" s="90">
        <v>21000</v>
      </c>
    </row>
    <row r="328" spans="1:18" x14ac:dyDescent="0.15">
      <c r="A328" s="86"/>
      <c r="B328" s="86"/>
      <c r="C328" s="52" t="s">
        <v>39</v>
      </c>
      <c r="D328" s="52"/>
      <c r="E328" s="91"/>
      <c r="F328" s="75">
        <f t="shared" si="12"/>
        <v>-166000</v>
      </c>
      <c r="G328" s="92"/>
      <c r="H328" s="90">
        <v>0</v>
      </c>
      <c r="I328" s="93"/>
      <c r="J328" s="90">
        <v>-166000</v>
      </c>
      <c r="K328" s="93"/>
      <c r="L328" s="90">
        <v>0</v>
      </c>
      <c r="M328" s="93"/>
      <c r="N328" s="90">
        <v>201000</v>
      </c>
      <c r="O328" s="93"/>
      <c r="P328" s="90">
        <v>162000</v>
      </c>
      <c r="Q328" s="93"/>
      <c r="R328" s="90">
        <v>529000</v>
      </c>
    </row>
    <row r="329" spans="1:18" x14ac:dyDescent="0.15">
      <c r="A329" s="86"/>
      <c r="B329" s="86"/>
      <c r="C329" s="52" t="s">
        <v>99</v>
      </c>
      <c r="D329" s="52"/>
      <c r="E329" s="91"/>
      <c r="F329" s="75">
        <f t="shared" si="12"/>
        <v>120000</v>
      </c>
      <c r="G329" s="92"/>
      <c r="H329" s="90">
        <v>120000</v>
      </c>
      <c r="I329" s="93"/>
      <c r="J329" s="90">
        <v>0</v>
      </c>
      <c r="K329" s="93"/>
      <c r="L329" s="90">
        <v>0</v>
      </c>
      <c r="M329" s="93"/>
      <c r="N329" s="90">
        <v>77000</v>
      </c>
      <c r="O329" s="93"/>
      <c r="P329" s="90">
        <v>43000</v>
      </c>
      <c r="Q329" s="93"/>
      <c r="R329" s="90">
        <v>0</v>
      </c>
    </row>
    <row r="330" spans="1:18" x14ac:dyDescent="0.15">
      <c r="A330" s="86"/>
      <c r="B330" s="86"/>
      <c r="C330" s="52" t="s">
        <v>165</v>
      </c>
      <c r="D330" s="52"/>
      <c r="E330" s="91"/>
      <c r="F330" s="75">
        <f t="shared" si="12"/>
        <v>32000</v>
      </c>
      <c r="G330" s="92"/>
      <c r="H330" s="90">
        <v>-2000</v>
      </c>
      <c r="I330" s="93"/>
      <c r="J330" s="90">
        <v>34000</v>
      </c>
      <c r="K330" s="93"/>
      <c r="L330" s="90">
        <v>0</v>
      </c>
      <c r="M330" s="93"/>
      <c r="N330" s="90">
        <v>53000</v>
      </c>
      <c r="O330" s="93"/>
      <c r="P330" s="90">
        <v>105000</v>
      </c>
      <c r="Q330" s="93"/>
      <c r="R330" s="90">
        <v>126000</v>
      </c>
    </row>
    <row r="331" spans="1:18" x14ac:dyDescent="0.15">
      <c r="A331" s="86"/>
      <c r="B331" s="86"/>
      <c r="C331" s="52" t="s">
        <v>109</v>
      </c>
      <c r="D331" s="52"/>
      <c r="E331" s="91"/>
      <c r="F331" s="75">
        <f t="shared" si="12"/>
        <v>91000</v>
      </c>
      <c r="G331" s="92"/>
      <c r="H331" s="90">
        <v>91000</v>
      </c>
      <c r="I331" s="93"/>
      <c r="J331" s="90">
        <v>0</v>
      </c>
      <c r="K331" s="93"/>
      <c r="L331" s="90">
        <v>0</v>
      </c>
      <c r="M331" s="93"/>
      <c r="N331" s="90">
        <v>58000</v>
      </c>
      <c r="O331" s="93"/>
      <c r="P331" s="90">
        <v>33000</v>
      </c>
      <c r="Q331" s="93"/>
      <c r="R331" s="90">
        <v>0</v>
      </c>
    </row>
    <row r="332" spans="1:18" x14ac:dyDescent="0.15">
      <c r="A332" s="86"/>
      <c r="B332" s="86"/>
      <c r="C332" s="52" t="s">
        <v>155</v>
      </c>
      <c r="D332" s="52"/>
      <c r="E332" s="91"/>
      <c r="F332" s="75">
        <f t="shared" si="12"/>
        <v>251000</v>
      </c>
      <c r="G332" s="92"/>
      <c r="H332" s="90">
        <v>60000</v>
      </c>
      <c r="I332" s="93"/>
      <c r="J332" s="90">
        <v>127000</v>
      </c>
      <c r="K332" s="93"/>
      <c r="L332" s="90">
        <v>64000</v>
      </c>
      <c r="M332" s="93"/>
      <c r="N332" s="90">
        <v>191000</v>
      </c>
      <c r="O332" s="93"/>
      <c r="P332" s="90">
        <v>120000</v>
      </c>
      <c r="Q332" s="93"/>
      <c r="R332" s="90">
        <v>60000</v>
      </c>
    </row>
    <row r="333" spans="1:18" x14ac:dyDescent="0.15">
      <c r="A333" s="86"/>
      <c r="B333" s="86"/>
      <c r="C333" s="52" t="s">
        <v>120</v>
      </c>
      <c r="D333" s="52"/>
      <c r="E333" s="91"/>
      <c r="F333" s="75">
        <f>SUM(H333:L333)</f>
        <v>22000</v>
      </c>
      <c r="G333" s="92"/>
      <c r="H333" s="90">
        <v>0</v>
      </c>
      <c r="I333" s="93"/>
      <c r="J333" s="90">
        <v>22000</v>
      </c>
      <c r="K333" s="93"/>
      <c r="L333" s="90">
        <v>0</v>
      </c>
      <c r="M333" s="93"/>
      <c r="N333" s="90">
        <v>0</v>
      </c>
      <c r="O333" s="93"/>
      <c r="P333" s="90">
        <v>22000</v>
      </c>
      <c r="Q333" s="93"/>
      <c r="R333" s="90">
        <v>0</v>
      </c>
    </row>
    <row r="334" spans="1:18" x14ac:dyDescent="0.15">
      <c r="A334" s="86"/>
      <c r="B334" s="86"/>
      <c r="C334" s="52" t="s">
        <v>159</v>
      </c>
      <c r="D334" s="52"/>
      <c r="E334" s="91"/>
      <c r="F334" s="75">
        <f t="shared" si="12"/>
        <v>107000</v>
      </c>
      <c r="G334" s="92"/>
      <c r="H334" s="90">
        <v>107000</v>
      </c>
      <c r="I334" s="93"/>
      <c r="J334" s="90">
        <v>0</v>
      </c>
      <c r="K334" s="93"/>
      <c r="L334" s="90">
        <v>0</v>
      </c>
      <c r="M334" s="93"/>
      <c r="N334" s="90">
        <v>74000</v>
      </c>
      <c r="O334" s="93"/>
      <c r="P334" s="90">
        <v>33000</v>
      </c>
      <c r="Q334" s="93"/>
      <c r="R334" s="90">
        <v>0</v>
      </c>
    </row>
    <row r="335" spans="1:18" x14ac:dyDescent="0.15">
      <c r="A335" s="86"/>
      <c r="B335" s="86"/>
      <c r="C335" s="52" t="s">
        <v>166</v>
      </c>
      <c r="D335" s="52"/>
      <c r="E335" s="91"/>
      <c r="F335" s="75">
        <f t="shared" si="12"/>
        <v>-116000</v>
      </c>
      <c r="G335" s="92"/>
      <c r="H335" s="90">
        <v>-34000</v>
      </c>
      <c r="I335" s="93"/>
      <c r="J335" s="90">
        <v>-86000</v>
      </c>
      <c r="K335" s="93"/>
      <c r="L335" s="90">
        <v>4000</v>
      </c>
      <c r="M335" s="93"/>
      <c r="N335" s="90">
        <v>1660000</v>
      </c>
      <c r="O335" s="93"/>
      <c r="P335" s="90">
        <v>5264000</v>
      </c>
      <c r="Q335" s="93"/>
      <c r="R335" s="90">
        <v>7040000</v>
      </c>
    </row>
    <row r="336" spans="1:18" x14ac:dyDescent="0.15">
      <c r="A336" s="86"/>
      <c r="B336" s="86"/>
      <c r="C336" s="52" t="s">
        <v>130</v>
      </c>
      <c r="D336" s="52"/>
      <c r="E336" s="91"/>
      <c r="F336" s="75">
        <f t="shared" si="12"/>
        <v>4000</v>
      </c>
      <c r="G336" s="92"/>
      <c r="H336" s="90">
        <v>0</v>
      </c>
      <c r="I336" s="93"/>
      <c r="J336" s="90">
        <v>2000</v>
      </c>
      <c r="K336" s="93"/>
      <c r="L336" s="90">
        <v>2000</v>
      </c>
      <c r="M336" s="93"/>
      <c r="N336" s="90">
        <v>2000</v>
      </c>
      <c r="O336" s="93"/>
      <c r="P336" s="90">
        <v>2000</v>
      </c>
      <c r="Q336" s="93"/>
      <c r="R336" s="90">
        <v>0</v>
      </c>
    </row>
    <row r="337" spans="1:18" x14ac:dyDescent="0.15">
      <c r="A337" s="86"/>
      <c r="B337" s="86"/>
      <c r="C337" s="52" t="s">
        <v>132</v>
      </c>
      <c r="D337" s="52"/>
      <c r="E337" s="91"/>
      <c r="F337" s="75">
        <f t="shared" si="12"/>
        <v>-2000</v>
      </c>
      <c r="G337" s="92"/>
      <c r="H337" s="90">
        <v>-2000</v>
      </c>
      <c r="I337" s="93"/>
      <c r="J337" s="90">
        <v>0</v>
      </c>
      <c r="K337" s="93"/>
      <c r="L337" s="90">
        <v>0</v>
      </c>
      <c r="M337" s="93"/>
      <c r="N337" s="90">
        <v>0</v>
      </c>
      <c r="O337" s="93"/>
      <c r="P337" s="90">
        <v>-2000</v>
      </c>
      <c r="Q337" s="93"/>
      <c r="R337" s="90">
        <v>0</v>
      </c>
    </row>
    <row r="338" spans="1:18" x14ac:dyDescent="0.15">
      <c r="A338" s="86"/>
      <c r="B338" s="86"/>
      <c r="C338" s="52" t="s">
        <v>133</v>
      </c>
      <c r="D338" s="52"/>
      <c r="E338" s="91"/>
      <c r="F338" s="75">
        <f t="shared" si="12"/>
        <v>174000</v>
      </c>
      <c r="G338" s="92"/>
      <c r="H338" s="90">
        <v>0</v>
      </c>
      <c r="I338" s="93"/>
      <c r="J338" s="90">
        <v>174000</v>
      </c>
      <c r="K338" s="93"/>
      <c r="L338" s="90">
        <v>0</v>
      </c>
      <c r="M338" s="93"/>
      <c r="N338" s="90">
        <v>94000</v>
      </c>
      <c r="O338" s="93"/>
      <c r="P338" s="90">
        <v>80000</v>
      </c>
      <c r="Q338" s="93"/>
      <c r="R338" s="90">
        <v>0</v>
      </c>
    </row>
    <row r="339" spans="1:18" x14ac:dyDescent="0.15">
      <c r="A339" s="86"/>
      <c r="B339" s="86"/>
      <c r="C339" s="52" t="s">
        <v>144</v>
      </c>
      <c r="D339" s="52"/>
      <c r="E339" s="91"/>
      <c r="F339" s="75">
        <f>SUM(H339:L339)</f>
        <v>77000</v>
      </c>
      <c r="G339" s="92"/>
      <c r="H339" s="90">
        <v>63000</v>
      </c>
      <c r="I339" s="93"/>
      <c r="J339" s="90">
        <v>14000</v>
      </c>
      <c r="K339" s="93"/>
      <c r="L339" s="90">
        <v>0</v>
      </c>
      <c r="M339" s="93"/>
      <c r="N339" s="90">
        <v>43000</v>
      </c>
      <c r="O339" s="93"/>
      <c r="P339" s="90">
        <v>34000</v>
      </c>
      <c r="Q339" s="93"/>
      <c r="R339" s="90">
        <v>0</v>
      </c>
    </row>
    <row r="340" spans="1:18" x14ac:dyDescent="0.15">
      <c r="A340" s="86"/>
      <c r="B340" s="86"/>
      <c r="C340" s="52" t="s">
        <v>149</v>
      </c>
      <c r="D340" s="52"/>
      <c r="E340" s="91"/>
      <c r="F340" s="94">
        <f>SUM(H340:L340)</f>
        <v>207000</v>
      </c>
      <c r="G340" s="69"/>
      <c r="H340" s="95">
        <v>203000</v>
      </c>
      <c r="I340" s="90"/>
      <c r="J340" s="95">
        <v>2000</v>
      </c>
      <c r="K340" s="90"/>
      <c r="L340" s="95">
        <v>2000</v>
      </c>
      <c r="M340" s="90"/>
      <c r="N340" s="95">
        <v>116000</v>
      </c>
      <c r="O340" s="90"/>
      <c r="P340" s="95">
        <v>91000</v>
      </c>
      <c r="Q340" s="90"/>
      <c r="R340" s="95">
        <v>0</v>
      </c>
    </row>
    <row r="341" spans="1:18" x14ac:dyDescent="0.15"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</row>
    <row r="342" spans="1:18" x14ac:dyDescent="0.15">
      <c r="E342" s="52" t="s">
        <v>3</v>
      </c>
      <c r="F342" s="94">
        <f>SUM(H342:L342)</f>
        <v>1089000</v>
      </c>
      <c r="G342" s="69"/>
      <c r="H342" s="94">
        <f>SUM(H325:H341)</f>
        <v>606000</v>
      </c>
      <c r="I342" s="75"/>
      <c r="J342" s="94">
        <f>SUM(J325:J341)</f>
        <v>103000</v>
      </c>
      <c r="K342" s="75"/>
      <c r="L342" s="94">
        <f>SUM(L325:L341)</f>
        <v>380000</v>
      </c>
      <c r="M342" s="75"/>
      <c r="N342" s="94">
        <f>SUM(N325:N341)</f>
        <v>2851000</v>
      </c>
      <c r="O342" s="75"/>
      <c r="P342" s="94">
        <f>SUM(P325:P341)</f>
        <v>6109000</v>
      </c>
      <c r="Q342" s="75"/>
      <c r="R342" s="94">
        <f>SUM(R325:R341)</f>
        <v>7871000</v>
      </c>
    </row>
    <row r="343" spans="1:18" x14ac:dyDescent="0.15"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</row>
    <row r="344" spans="1:18" x14ac:dyDescent="0.15">
      <c r="E344" s="52" t="s">
        <v>167</v>
      </c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</row>
    <row r="345" spans="1:18" x14ac:dyDescent="0.15">
      <c r="E345" s="52" t="s">
        <v>168</v>
      </c>
      <c r="F345" s="94">
        <f>SUM(H345:L345)</f>
        <v>357991000</v>
      </c>
      <c r="G345" s="69"/>
      <c r="H345" s="94">
        <f>+H262+H311+H322+H342</f>
        <v>237886000</v>
      </c>
      <c r="I345" s="75"/>
      <c r="J345" s="94">
        <f>+J262+J311+J322+J342</f>
        <v>33394000</v>
      </c>
      <c r="K345" s="75"/>
      <c r="L345" s="94">
        <f>+L262+L311+L322+L342</f>
        <v>86711000</v>
      </c>
      <c r="M345" s="75"/>
      <c r="N345" s="94">
        <f>+N262+N311+N322+N342</f>
        <v>222149000</v>
      </c>
      <c r="O345" s="75"/>
      <c r="P345" s="94">
        <f>+P262+P311+P322+P342</f>
        <v>144129000</v>
      </c>
      <c r="Q345" s="75"/>
      <c r="R345" s="94">
        <f>+R262+R311+R322+R342</f>
        <v>8287000</v>
      </c>
    </row>
    <row r="346" spans="1:18" x14ac:dyDescent="0.15">
      <c r="E346" s="86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</row>
    <row r="347" spans="1:18" x14ac:dyDescent="0.15">
      <c r="A347" s="79" t="s">
        <v>169</v>
      </c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</row>
    <row r="348" spans="1:18" x14ac:dyDescent="0.15">
      <c r="A348" s="79"/>
      <c r="B348" s="79" t="s">
        <v>170</v>
      </c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</row>
    <row r="349" spans="1:18" x14ac:dyDescent="0.15"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</row>
    <row r="350" spans="1:18" x14ac:dyDescent="0.15">
      <c r="B350" s="53" t="s">
        <v>13</v>
      </c>
      <c r="F350" s="94">
        <f>SUM(H350:L350)</f>
        <v>10027000</v>
      </c>
      <c r="G350" s="69"/>
      <c r="H350" s="95">
        <v>3616000</v>
      </c>
      <c r="I350" s="90"/>
      <c r="J350" s="95">
        <v>5672000</v>
      </c>
      <c r="L350" s="95">
        <v>739000</v>
      </c>
      <c r="M350" s="90"/>
      <c r="N350" s="95">
        <v>4167000</v>
      </c>
      <c r="O350" s="90"/>
      <c r="P350" s="95">
        <v>5860000</v>
      </c>
      <c r="Q350" s="90"/>
      <c r="R350" s="95">
        <v>0</v>
      </c>
    </row>
    <row r="351" spans="1:18" x14ac:dyDescent="0.15"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</row>
    <row r="352" spans="1:18" x14ac:dyDescent="0.15">
      <c r="B352" s="53" t="s">
        <v>24</v>
      </c>
      <c r="F352" s="94">
        <f>SUM(H352:L352)</f>
        <v>1614000</v>
      </c>
      <c r="G352" s="69"/>
      <c r="H352" s="95">
        <v>-8000</v>
      </c>
      <c r="I352" s="90"/>
      <c r="J352" s="95">
        <v>125000</v>
      </c>
      <c r="K352" s="90"/>
      <c r="L352" s="95">
        <v>1497000</v>
      </c>
      <c r="M352" s="90"/>
      <c r="N352" s="95">
        <v>926000</v>
      </c>
      <c r="O352" s="90"/>
      <c r="P352" s="95">
        <v>688000</v>
      </c>
      <c r="Q352" s="90"/>
      <c r="R352" s="95">
        <v>0</v>
      </c>
    </row>
    <row r="353" spans="1:18" x14ac:dyDescent="0.15">
      <c r="G353" s="69"/>
      <c r="H353" s="75"/>
      <c r="I353" s="75"/>
      <c r="J353" s="75"/>
      <c r="K353" s="75"/>
      <c r="L353" s="75"/>
      <c r="M353" s="75"/>
      <c r="N353" s="75"/>
      <c r="O353" s="75"/>
      <c r="P353" s="75"/>
      <c r="Q353" s="75"/>
      <c r="R353" s="75"/>
    </row>
    <row r="354" spans="1:18" x14ac:dyDescent="0.15">
      <c r="E354" s="52" t="s">
        <v>171</v>
      </c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</row>
    <row r="355" spans="1:18" x14ac:dyDescent="0.15">
      <c r="E355" s="52" t="s">
        <v>172</v>
      </c>
      <c r="F355" s="94">
        <f>+F350+F352</f>
        <v>11641000</v>
      </c>
      <c r="G355" s="69"/>
      <c r="H355" s="94">
        <f>+H350+H352</f>
        <v>3608000</v>
      </c>
      <c r="I355" s="75"/>
      <c r="J355" s="94">
        <f>+J350+J352</f>
        <v>5797000</v>
      </c>
      <c r="K355" s="75"/>
      <c r="L355" s="94">
        <f>+L350+L352</f>
        <v>2236000</v>
      </c>
      <c r="M355" s="75"/>
      <c r="N355" s="94">
        <f>+N350+N352</f>
        <v>5093000</v>
      </c>
      <c r="O355" s="75"/>
      <c r="P355" s="94">
        <f>+P350+P352</f>
        <v>6548000</v>
      </c>
      <c r="Q355" s="75"/>
      <c r="R355" s="94">
        <f>+R350+R352</f>
        <v>0</v>
      </c>
    </row>
    <row r="356" spans="1:18" x14ac:dyDescent="0.15">
      <c r="G356" s="69"/>
      <c r="H356" s="75"/>
      <c r="I356" s="75"/>
      <c r="J356" s="75"/>
      <c r="K356" s="75"/>
      <c r="L356" s="75"/>
      <c r="M356" s="75"/>
      <c r="N356" s="75"/>
      <c r="O356" s="75"/>
      <c r="P356" s="75"/>
      <c r="Q356" s="75"/>
      <c r="R356" s="75"/>
    </row>
    <row r="357" spans="1:18" x14ac:dyDescent="0.15">
      <c r="A357" s="79" t="s">
        <v>173</v>
      </c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</row>
    <row r="358" spans="1:18" x14ac:dyDescent="0.15"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</row>
    <row r="359" spans="1:18" x14ac:dyDescent="0.15">
      <c r="B359" s="53" t="s">
        <v>13</v>
      </c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</row>
    <row r="360" spans="1:18" x14ac:dyDescent="0.15">
      <c r="C360" s="52" t="s">
        <v>14</v>
      </c>
      <c r="D360" s="52"/>
      <c r="E360" s="91"/>
      <c r="F360" s="75">
        <f t="shared" ref="F360:F372" si="13">SUM(H360:L360)</f>
        <v>2067000</v>
      </c>
      <c r="G360" s="92"/>
      <c r="H360" s="90">
        <v>2043000</v>
      </c>
      <c r="I360" s="93"/>
      <c r="J360" s="90">
        <v>6000</v>
      </c>
      <c r="K360" s="93"/>
      <c r="L360" s="90">
        <v>18000</v>
      </c>
      <c r="M360" s="93"/>
      <c r="N360" s="90">
        <v>1379000</v>
      </c>
      <c r="O360" s="93"/>
      <c r="P360" s="90">
        <v>688000</v>
      </c>
      <c r="Q360" s="93"/>
      <c r="R360" s="90">
        <v>0</v>
      </c>
    </row>
    <row r="361" spans="1:18" x14ac:dyDescent="0.15">
      <c r="C361" s="52" t="s">
        <v>39</v>
      </c>
      <c r="D361" s="52"/>
      <c r="E361" s="91"/>
      <c r="F361" s="75">
        <f t="shared" si="13"/>
        <v>5715000</v>
      </c>
      <c r="G361" s="92"/>
      <c r="H361" s="90">
        <v>3123000</v>
      </c>
      <c r="I361" s="93"/>
      <c r="J361" s="90">
        <v>944000</v>
      </c>
      <c r="K361" s="93"/>
      <c r="L361" s="90">
        <v>1648000</v>
      </c>
      <c r="M361" s="93"/>
      <c r="N361" s="90">
        <v>2791000</v>
      </c>
      <c r="O361" s="93"/>
      <c r="P361" s="90">
        <v>2928000</v>
      </c>
      <c r="Q361" s="93"/>
      <c r="R361" s="90">
        <v>4000</v>
      </c>
    </row>
    <row r="362" spans="1:18" x14ac:dyDescent="0.15">
      <c r="C362" s="52" t="s">
        <v>174</v>
      </c>
      <c r="D362" s="52"/>
      <c r="E362" s="91"/>
      <c r="F362" s="75">
        <f t="shared" si="13"/>
        <v>1490000</v>
      </c>
      <c r="G362" s="92"/>
      <c r="H362" s="90">
        <v>1490000</v>
      </c>
      <c r="I362" s="93"/>
      <c r="J362" s="90">
        <v>0</v>
      </c>
      <c r="K362" s="93"/>
      <c r="L362" s="90">
        <v>0</v>
      </c>
      <c r="M362" s="93"/>
      <c r="N362" s="90">
        <v>1081000</v>
      </c>
      <c r="O362" s="93"/>
      <c r="P362" s="90">
        <v>409000</v>
      </c>
      <c r="Q362" s="93"/>
      <c r="R362" s="90">
        <v>0</v>
      </c>
    </row>
    <row r="363" spans="1:18" x14ac:dyDescent="0.15">
      <c r="C363" s="52" t="s">
        <v>175</v>
      </c>
      <c r="D363" s="52"/>
      <c r="E363" s="91"/>
      <c r="G363" s="92"/>
      <c r="H363" s="90"/>
      <c r="I363" s="93"/>
      <c r="J363" s="90"/>
      <c r="K363" s="93"/>
      <c r="L363" s="90"/>
      <c r="M363" s="93"/>
      <c r="N363" s="90"/>
      <c r="O363" s="93"/>
      <c r="P363" s="90"/>
      <c r="Q363" s="93"/>
      <c r="R363" s="90"/>
    </row>
    <row r="364" spans="1:18" x14ac:dyDescent="0.15">
      <c r="C364" s="91"/>
      <c r="D364" s="91"/>
      <c r="E364" s="52" t="s">
        <v>176</v>
      </c>
      <c r="F364" s="75">
        <f t="shared" si="13"/>
        <v>2616000</v>
      </c>
      <c r="G364" s="92"/>
      <c r="H364" s="90">
        <v>2445000</v>
      </c>
      <c r="I364" s="93"/>
      <c r="J364" s="90">
        <v>134000</v>
      </c>
      <c r="K364" s="93"/>
      <c r="L364" s="90">
        <v>37000</v>
      </c>
      <c r="M364" s="93"/>
      <c r="N364" s="90">
        <v>1325000</v>
      </c>
      <c r="O364" s="93"/>
      <c r="P364" s="90">
        <v>1291000</v>
      </c>
      <c r="Q364" s="93"/>
      <c r="R364" s="90">
        <v>0</v>
      </c>
    </row>
    <row r="365" spans="1:18" x14ac:dyDescent="0.15">
      <c r="C365" s="91" t="s">
        <v>25</v>
      </c>
      <c r="D365" s="91"/>
      <c r="F365" s="75">
        <f t="shared" si="13"/>
        <v>67000</v>
      </c>
      <c r="G365" s="92"/>
      <c r="H365" s="90">
        <v>0</v>
      </c>
      <c r="I365" s="93"/>
      <c r="J365" s="90">
        <v>43000</v>
      </c>
      <c r="K365" s="93"/>
      <c r="L365" s="90">
        <v>24000</v>
      </c>
      <c r="M365" s="93"/>
      <c r="N365" s="90">
        <v>114000</v>
      </c>
      <c r="O365" s="93"/>
      <c r="P365" s="90">
        <v>99000</v>
      </c>
      <c r="Q365" s="93"/>
      <c r="R365" s="90">
        <v>146000</v>
      </c>
    </row>
    <row r="366" spans="1:18" x14ac:dyDescent="0.15">
      <c r="C366" s="91" t="s">
        <v>17</v>
      </c>
      <c r="D366" s="91"/>
      <c r="F366" s="75">
        <f t="shared" si="13"/>
        <v>953000</v>
      </c>
      <c r="G366" s="92"/>
      <c r="H366" s="90">
        <v>948000</v>
      </c>
      <c r="I366" s="93"/>
      <c r="J366" s="90">
        <v>3000</v>
      </c>
      <c r="K366" s="93"/>
      <c r="L366" s="90">
        <v>2000</v>
      </c>
      <c r="M366" s="93"/>
      <c r="N366" s="90">
        <v>691000</v>
      </c>
      <c r="O366" s="93"/>
      <c r="P366" s="90">
        <v>262000</v>
      </c>
      <c r="Q366" s="93"/>
      <c r="R366" s="90">
        <v>0</v>
      </c>
    </row>
    <row r="367" spans="1:18" x14ac:dyDescent="0.15">
      <c r="C367" s="91" t="s">
        <v>18</v>
      </c>
      <c r="D367" s="91"/>
      <c r="F367" s="75">
        <f t="shared" si="13"/>
        <v>453000</v>
      </c>
      <c r="G367" s="92"/>
      <c r="H367" s="90">
        <v>453000</v>
      </c>
      <c r="I367" s="93"/>
      <c r="J367" s="90">
        <v>0</v>
      </c>
      <c r="K367" s="93"/>
      <c r="L367" s="90">
        <v>0</v>
      </c>
      <c r="M367" s="93"/>
      <c r="N367" s="90">
        <v>341000</v>
      </c>
      <c r="O367" s="93"/>
      <c r="P367" s="90">
        <v>112000</v>
      </c>
      <c r="Q367" s="93"/>
      <c r="R367" s="90">
        <v>0</v>
      </c>
    </row>
    <row r="368" spans="1:18" x14ac:dyDescent="0.15">
      <c r="C368" s="52" t="s">
        <v>177</v>
      </c>
      <c r="D368" s="52"/>
      <c r="E368" s="91"/>
      <c r="F368" s="75">
        <f t="shared" si="13"/>
        <v>1965000</v>
      </c>
      <c r="G368" s="92"/>
      <c r="H368" s="90">
        <v>1918000</v>
      </c>
      <c r="I368" s="93"/>
      <c r="J368" s="90">
        <v>20000</v>
      </c>
      <c r="K368" s="93"/>
      <c r="L368" s="90">
        <v>27000</v>
      </c>
      <c r="M368" s="93"/>
      <c r="N368" s="90">
        <v>1212000</v>
      </c>
      <c r="O368" s="93"/>
      <c r="P368" s="90">
        <v>753000</v>
      </c>
      <c r="Q368" s="93"/>
      <c r="R368" s="90">
        <v>0</v>
      </c>
    </row>
    <row r="369" spans="1:18" x14ac:dyDescent="0.15">
      <c r="C369" s="91" t="s">
        <v>179</v>
      </c>
      <c r="D369" s="91"/>
      <c r="F369" s="75">
        <f t="shared" si="13"/>
        <v>1630000</v>
      </c>
      <c r="G369" s="92"/>
      <c r="H369" s="90">
        <v>1607000</v>
      </c>
      <c r="I369" s="93"/>
      <c r="J369" s="90">
        <v>0</v>
      </c>
      <c r="K369" s="93"/>
      <c r="L369" s="90">
        <v>23000</v>
      </c>
      <c r="M369" s="93"/>
      <c r="N369" s="90">
        <v>1054000</v>
      </c>
      <c r="O369" s="93"/>
      <c r="P369" s="90">
        <v>576000</v>
      </c>
      <c r="Q369" s="93"/>
      <c r="R369" s="90">
        <v>0</v>
      </c>
    </row>
    <row r="370" spans="1:18" x14ac:dyDescent="0.15">
      <c r="C370" s="52" t="s">
        <v>180</v>
      </c>
      <c r="D370" s="52"/>
      <c r="E370" s="91"/>
      <c r="F370" s="75">
        <f t="shared" si="13"/>
        <v>5000</v>
      </c>
      <c r="G370" s="92"/>
      <c r="H370" s="90">
        <v>1000</v>
      </c>
      <c r="I370" s="93"/>
      <c r="J370" s="90">
        <v>0</v>
      </c>
      <c r="K370" s="93"/>
      <c r="L370" s="90">
        <v>4000</v>
      </c>
      <c r="M370" s="93"/>
      <c r="N370" s="90">
        <v>0</v>
      </c>
      <c r="O370" s="93"/>
      <c r="P370" s="90">
        <v>5000</v>
      </c>
      <c r="Q370" s="93"/>
      <c r="R370" s="90">
        <v>0</v>
      </c>
    </row>
    <row r="371" spans="1:18" x14ac:dyDescent="0.15">
      <c r="C371" s="52" t="s">
        <v>21</v>
      </c>
      <c r="D371" s="52"/>
      <c r="G371" s="92"/>
      <c r="H371" s="90"/>
      <c r="I371" s="93"/>
      <c r="J371" s="90"/>
      <c r="K371" s="93"/>
      <c r="L371" s="90"/>
      <c r="M371" s="93"/>
      <c r="N371" s="90"/>
      <c r="O371" s="93"/>
      <c r="P371" s="90"/>
      <c r="Q371" s="93"/>
      <c r="R371" s="90"/>
    </row>
    <row r="372" spans="1:18" x14ac:dyDescent="0.15">
      <c r="C372" s="86"/>
      <c r="D372" s="86"/>
      <c r="E372" s="91" t="s">
        <v>23</v>
      </c>
      <c r="F372" s="94">
        <f t="shared" si="13"/>
        <v>581000</v>
      </c>
      <c r="G372" s="92"/>
      <c r="H372" s="95">
        <v>581000</v>
      </c>
      <c r="I372" s="93"/>
      <c r="J372" s="95">
        <v>0</v>
      </c>
      <c r="K372" s="93"/>
      <c r="L372" s="95">
        <v>0</v>
      </c>
      <c r="M372" s="93"/>
      <c r="N372" s="95">
        <v>419000</v>
      </c>
      <c r="O372" s="93"/>
      <c r="P372" s="95">
        <v>162000</v>
      </c>
      <c r="Q372" s="93"/>
      <c r="R372" s="95">
        <v>0</v>
      </c>
    </row>
    <row r="373" spans="1:18" x14ac:dyDescent="0.15"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</row>
    <row r="374" spans="1:18" x14ac:dyDescent="0.15">
      <c r="E374" s="52" t="s">
        <v>3</v>
      </c>
      <c r="F374" s="94">
        <f>SUM(H374:L374)</f>
        <v>17542000</v>
      </c>
      <c r="G374" s="69"/>
      <c r="H374" s="94">
        <f>SUM(H360:H373)</f>
        <v>14609000</v>
      </c>
      <c r="I374" s="75"/>
      <c r="J374" s="94">
        <f>SUM(J360:J373)</f>
        <v>1150000</v>
      </c>
      <c r="K374" s="75"/>
      <c r="L374" s="94">
        <f>SUM(L360:L373)</f>
        <v>1783000</v>
      </c>
      <c r="M374" s="75"/>
      <c r="N374" s="94">
        <f>SUM(N360:N373)</f>
        <v>10407000</v>
      </c>
      <c r="O374" s="75"/>
      <c r="P374" s="94">
        <f>SUM(P360:P373)</f>
        <v>7285000</v>
      </c>
      <c r="Q374" s="75"/>
      <c r="R374" s="94">
        <f>SUM(R360:R373)</f>
        <v>150000</v>
      </c>
    </row>
    <row r="375" spans="1:18" x14ac:dyDescent="0.15">
      <c r="A375" s="88"/>
      <c r="B375" s="88"/>
      <c r="C375" s="88"/>
      <c r="D375" s="88"/>
      <c r="E375" s="88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</row>
    <row r="376" spans="1:18" x14ac:dyDescent="0.15">
      <c r="B376" s="53" t="s">
        <v>24</v>
      </c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</row>
    <row r="377" spans="1:18" x14ac:dyDescent="0.15">
      <c r="C377" s="52" t="s">
        <v>39</v>
      </c>
      <c r="D377" s="52"/>
      <c r="E377" s="91"/>
      <c r="F377" s="75">
        <f t="shared" ref="F377:F382" si="14">SUM(H377:L377)</f>
        <v>1936000</v>
      </c>
      <c r="G377" s="92"/>
      <c r="H377" s="90">
        <v>1832000</v>
      </c>
      <c r="I377" s="93"/>
      <c r="J377" s="90">
        <v>85000</v>
      </c>
      <c r="K377" s="93"/>
      <c r="L377" s="90">
        <v>19000</v>
      </c>
      <c r="M377" s="93"/>
      <c r="N377" s="90">
        <v>1232000</v>
      </c>
      <c r="O377" s="93"/>
      <c r="P377" s="90">
        <v>708000</v>
      </c>
      <c r="Q377" s="93"/>
      <c r="R377" s="90">
        <v>4000</v>
      </c>
    </row>
    <row r="378" spans="1:18" x14ac:dyDescent="0.15">
      <c r="C378" s="52" t="s">
        <v>175</v>
      </c>
      <c r="D378" s="52"/>
      <c r="E378" s="91"/>
      <c r="G378" s="92"/>
      <c r="H378" s="90"/>
      <c r="I378" s="93"/>
      <c r="J378" s="90"/>
      <c r="K378" s="93"/>
      <c r="L378" s="90"/>
      <c r="M378" s="93"/>
      <c r="N378" s="90"/>
      <c r="O378" s="93"/>
      <c r="P378" s="90"/>
      <c r="Q378" s="93"/>
      <c r="R378" s="90"/>
    </row>
    <row r="379" spans="1:18" x14ac:dyDescent="0.15">
      <c r="C379" s="91"/>
      <c r="D379" s="91"/>
      <c r="E379" s="52" t="s">
        <v>176</v>
      </c>
      <c r="F379" s="75">
        <f t="shared" si="14"/>
        <v>123000</v>
      </c>
      <c r="G379" s="92"/>
      <c r="H379" s="90">
        <v>111000</v>
      </c>
      <c r="I379" s="93"/>
      <c r="J379" s="90">
        <v>10000</v>
      </c>
      <c r="K379" s="93"/>
      <c r="L379" s="90">
        <v>2000</v>
      </c>
      <c r="M379" s="93"/>
      <c r="N379" s="90">
        <v>35000</v>
      </c>
      <c r="O379" s="93"/>
      <c r="P379" s="90">
        <v>88000</v>
      </c>
      <c r="Q379" s="93"/>
      <c r="R379" s="90">
        <v>0</v>
      </c>
    </row>
    <row r="380" spans="1:18" x14ac:dyDescent="0.15">
      <c r="C380" s="91" t="s">
        <v>181</v>
      </c>
      <c r="D380" s="91"/>
      <c r="F380" s="75">
        <f t="shared" si="14"/>
        <v>14000</v>
      </c>
      <c r="G380" s="92"/>
      <c r="H380" s="90">
        <v>0</v>
      </c>
      <c r="I380" s="93"/>
      <c r="J380" s="90">
        <v>0</v>
      </c>
      <c r="K380" s="93"/>
      <c r="L380" s="90">
        <v>14000</v>
      </c>
      <c r="M380" s="93"/>
      <c r="N380" s="90">
        <v>1000</v>
      </c>
      <c r="O380" s="93"/>
      <c r="P380" s="90">
        <v>13000</v>
      </c>
      <c r="Q380" s="93"/>
      <c r="R380" s="90">
        <v>0</v>
      </c>
    </row>
    <row r="381" spans="1:18" x14ac:dyDescent="0.15">
      <c r="C381" s="91" t="s">
        <v>17</v>
      </c>
      <c r="D381" s="91"/>
      <c r="F381" s="75">
        <f t="shared" si="14"/>
        <v>16000</v>
      </c>
      <c r="G381" s="92"/>
      <c r="H381" s="90">
        <v>0</v>
      </c>
      <c r="I381" s="93"/>
      <c r="J381" s="90">
        <v>0</v>
      </c>
      <c r="K381" s="93"/>
      <c r="L381" s="90">
        <v>16000</v>
      </c>
      <c r="M381" s="93"/>
      <c r="N381" s="90">
        <v>0</v>
      </c>
      <c r="O381" s="93"/>
      <c r="P381" s="90">
        <v>16000</v>
      </c>
      <c r="Q381" s="93"/>
      <c r="R381" s="90">
        <v>0</v>
      </c>
    </row>
    <row r="382" spans="1:18" x14ac:dyDescent="0.15">
      <c r="C382" s="91" t="s">
        <v>179</v>
      </c>
      <c r="D382" s="91"/>
      <c r="F382" s="75">
        <f t="shared" si="14"/>
        <v>1277000</v>
      </c>
      <c r="G382" s="92"/>
      <c r="H382" s="90">
        <v>1182000</v>
      </c>
      <c r="I382" s="93"/>
      <c r="J382" s="90">
        <v>44000</v>
      </c>
      <c r="K382" s="93"/>
      <c r="L382" s="90">
        <v>51000</v>
      </c>
      <c r="M382" s="93"/>
      <c r="N382" s="90">
        <v>647000</v>
      </c>
      <c r="O382" s="93"/>
      <c r="P382" s="90">
        <v>630000</v>
      </c>
      <c r="Q382" s="93"/>
      <c r="R382" s="90">
        <v>0</v>
      </c>
    </row>
    <row r="383" spans="1:18" x14ac:dyDescent="0.15">
      <c r="C383" s="52" t="s">
        <v>180</v>
      </c>
      <c r="D383" s="52"/>
      <c r="E383" s="91"/>
      <c r="F383" s="94">
        <f>SUM(H383:L383)</f>
        <v>1779000</v>
      </c>
      <c r="G383" s="69"/>
      <c r="H383" s="95">
        <v>0</v>
      </c>
      <c r="I383" s="90"/>
      <c r="J383" s="95">
        <v>14000</v>
      </c>
      <c r="K383" s="90"/>
      <c r="L383" s="95">
        <v>1765000</v>
      </c>
      <c r="M383" s="90"/>
      <c r="N383" s="95">
        <v>1140000</v>
      </c>
      <c r="O383" s="90"/>
      <c r="P383" s="95">
        <v>639000</v>
      </c>
      <c r="Q383" s="90"/>
      <c r="R383" s="95">
        <v>0</v>
      </c>
    </row>
    <row r="384" spans="1:18" x14ac:dyDescent="0.15"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</row>
    <row r="385" spans="1:18" x14ac:dyDescent="0.15">
      <c r="E385" s="52" t="s">
        <v>3</v>
      </c>
      <c r="F385" s="94">
        <f>SUM(H385:L385)</f>
        <v>5145000</v>
      </c>
      <c r="G385" s="69"/>
      <c r="H385" s="94">
        <f>SUM(H377:H384)</f>
        <v>3125000</v>
      </c>
      <c r="I385" s="75"/>
      <c r="J385" s="94">
        <f>SUM(J377:J384)</f>
        <v>153000</v>
      </c>
      <c r="K385" s="75"/>
      <c r="L385" s="94">
        <f>SUM(L377:L384)</f>
        <v>1867000</v>
      </c>
      <c r="M385" s="75"/>
      <c r="N385" s="94">
        <f>SUM(N377:N384)</f>
        <v>3055000</v>
      </c>
      <c r="O385" s="75"/>
      <c r="P385" s="94">
        <f>SUM(P377:P384)</f>
        <v>2094000</v>
      </c>
      <c r="Q385" s="75"/>
      <c r="R385" s="94">
        <f>SUM(R377:R384)</f>
        <v>4000</v>
      </c>
    </row>
    <row r="386" spans="1:18" x14ac:dyDescent="0.15">
      <c r="A386" s="88"/>
      <c r="B386" s="88"/>
      <c r="C386" s="88"/>
      <c r="D386" s="88"/>
      <c r="E386" s="88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</row>
    <row r="387" spans="1:18" x14ac:dyDescent="0.15">
      <c r="A387" s="88"/>
      <c r="B387" s="53" t="s">
        <v>28</v>
      </c>
      <c r="C387" s="88"/>
      <c r="D387" s="88"/>
      <c r="F387" s="94">
        <f>SUM(H387:L387)</f>
        <v>13000</v>
      </c>
      <c r="G387" s="69"/>
      <c r="H387" s="95">
        <v>0</v>
      </c>
      <c r="I387" s="90"/>
      <c r="J387" s="95">
        <v>2000</v>
      </c>
      <c r="K387" s="90"/>
      <c r="L387" s="95">
        <v>11000</v>
      </c>
      <c r="M387" s="90"/>
      <c r="N387" s="95">
        <v>15000</v>
      </c>
      <c r="O387" s="90"/>
      <c r="P387" s="95">
        <v>-2000</v>
      </c>
      <c r="Q387" s="90"/>
      <c r="R387" s="95">
        <v>0</v>
      </c>
    </row>
    <row r="388" spans="1:18" x14ac:dyDescent="0.15">
      <c r="A388" s="88"/>
      <c r="C388" s="88"/>
      <c r="D388" s="88"/>
      <c r="G388" s="69"/>
      <c r="H388" s="90"/>
      <c r="I388" s="90"/>
      <c r="J388" s="90"/>
      <c r="K388" s="90"/>
      <c r="L388" s="90"/>
      <c r="M388" s="90"/>
      <c r="N388" s="90"/>
      <c r="O388" s="90"/>
      <c r="P388" s="90"/>
      <c r="Q388" s="90"/>
      <c r="R388" s="90"/>
    </row>
    <row r="389" spans="1:18" x14ac:dyDescent="0.15">
      <c r="E389" s="52" t="s">
        <v>182</v>
      </c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</row>
    <row r="390" spans="1:18" x14ac:dyDescent="0.15">
      <c r="E390" s="52" t="s">
        <v>183</v>
      </c>
      <c r="F390" s="94">
        <f>SUM(H390:L390)</f>
        <v>22700000</v>
      </c>
      <c r="G390" s="69"/>
      <c r="H390" s="94">
        <f>H374+H385+H387</f>
        <v>17734000</v>
      </c>
      <c r="I390" s="75"/>
      <c r="J390" s="94">
        <f>J374+J385+J387</f>
        <v>1305000</v>
      </c>
      <c r="K390" s="75"/>
      <c r="L390" s="94">
        <f>L374+L385+L387</f>
        <v>3661000</v>
      </c>
      <c r="M390" s="75"/>
      <c r="N390" s="94">
        <f>N374+N385+N387</f>
        <v>13477000</v>
      </c>
      <c r="O390" s="75"/>
      <c r="P390" s="94">
        <f>P374+P385+P387</f>
        <v>9377000</v>
      </c>
      <c r="Q390" s="75"/>
      <c r="R390" s="94">
        <f>R374+R385+R387</f>
        <v>154000</v>
      </c>
    </row>
    <row r="391" spans="1:18" x14ac:dyDescent="0.15">
      <c r="A391" s="88"/>
      <c r="B391" s="88"/>
      <c r="C391" s="88"/>
      <c r="D391" s="88"/>
      <c r="E391" s="88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</row>
    <row r="392" spans="1:18" x14ac:dyDescent="0.15">
      <c r="A392" s="88"/>
      <c r="B392" s="88"/>
      <c r="C392" s="88"/>
      <c r="D392" s="88"/>
      <c r="E392" s="88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</row>
    <row r="393" spans="1:18" x14ac:dyDescent="0.15">
      <c r="A393" s="79" t="s">
        <v>184</v>
      </c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</row>
    <row r="394" spans="1:18" x14ac:dyDescent="0.15">
      <c r="A394" s="88"/>
      <c r="B394" s="88"/>
      <c r="C394" s="88"/>
      <c r="D394" s="88"/>
      <c r="E394" s="88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</row>
    <row r="395" spans="1:18" x14ac:dyDescent="0.15">
      <c r="A395" s="88"/>
      <c r="B395" s="53" t="s">
        <v>13</v>
      </c>
      <c r="C395" s="88"/>
      <c r="D395" s="88"/>
      <c r="F395" s="94">
        <f>SUM(H395:L395)</f>
        <v>11086000</v>
      </c>
      <c r="G395" s="69"/>
      <c r="H395" s="95">
        <v>5157000</v>
      </c>
      <c r="I395" s="90"/>
      <c r="J395" s="95">
        <v>4297000</v>
      </c>
      <c r="K395" s="90"/>
      <c r="L395" s="95">
        <v>1632000</v>
      </c>
      <c r="M395" s="90"/>
      <c r="N395" s="95">
        <v>6689000</v>
      </c>
      <c r="O395" s="90"/>
      <c r="P395" s="95">
        <v>4397000</v>
      </c>
      <c r="Q395" s="90"/>
      <c r="R395" s="95">
        <v>0</v>
      </c>
    </row>
    <row r="396" spans="1:18" x14ac:dyDescent="0.15">
      <c r="G396" s="69"/>
      <c r="H396" s="75"/>
      <c r="I396" s="90"/>
      <c r="J396" s="75"/>
      <c r="K396" s="90"/>
      <c r="L396" s="75"/>
      <c r="M396" s="90"/>
      <c r="N396" s="75"/>
      <c r="O396" s="90"/>
      <c r="P396" s="75"/>
      <c r="Q396" s="90"/>
      <c r="R396" s="75"/>
    </row>
    <row r="397" spans="1:18" x14ac:dyDescent="0.15">
      <c r="B397" s="53" t="s">
        <v>24</v>
      </c>
      <c r="F397" s="94">
        <f>SUM(H397:L397)</f>
        <v>6634000</v>
      </c>
      <c r="G397" s="69"/>
      <c r="H397" s="95">
        <v>250000</v>
      </c>
      <c r="I397" s="90"/>
      <c r="J397" s="95">
        <v>279000</v>
      </c>
      <c r="K397" s="90"/>
      <c r="L397" s="95">
        <v>6105000</v>
      </c>
      <c r="M397" s="90"/>
      <c r="N397" s="95">
        <v>3406000</v>
      </c>
      <c r="O397" s="90"/>
      <c r="P397" s="95">
        <v>3683000</v>
      </c>
      <c r="Q397" s="90"/>
      <c r="R397" s="95">
        <v>455000</v>
      </c>
    </row>
    <row r="398" spans="1:18" x14ac:dyDescent="0.15">
      <c r="A398" s="88"/>
      <c r="B398" s="88"/>
      <c r="C398" s="88"/>
      <c r="D398" s="88"/>
      <c r="E398" s="88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</row>
    <row r="399" spans="1:18" x14ac:dyDescent="0.15">
      <c r="A399" s="88"/>
      <c r="B399" s="53" t="s">
        <v>29</v>
      </c>
      <c r="C399" s="88"/>
      <c r="D399" s="88"/>
      <c r="F399" s="94">
        <f>SUM(H399:L399)</f>
        <v>11844000</v>
      </c>
      <c r="G399" s="69"/>
      <c r="H399" s="95">
        <v>242000</v>
      </c>
      <c r="I399" s="90"/>
      <c r="J399" s="95">
        <v>11575000</v>
      </c>
      <c r="K399" s="90"/>
      <c r="L399" s="95">
        <v>27000</v>
      </c>
      <c r="M399" s="90"/>
      <c r="N399" s="95">
        <v>5417000</v>
      </c>
      <c r="O399" s="90"/>
      <c r="P399" s="95">
        <v>6427000</v>
      </c>
      <c r="Q399" s="90"/>
      <c r="R399" s="95">
        <v>0</v>
      </c>
    </row>
    <row r="400" spans="1:18" x14ac:dyDescent="0.15">
      <c r="A400" s="88"/>
      <c r="C400" s="88"/>
      <c r="D400" s="88"/>
      <c r="E400" s="88"/>
      <c r="G400" s="69"/>
      <c r="H400" s="90"/>
      <c r="I400" s="90"/>
      <c r="J400" s="90"/>
      <c r="K400" s="90"/>
      <c r="L400" s="90"/>
      <c r="M400" s="90"/>
      <c r="N400" s="90"/>
      <c r="O400" s="90"/>
      <c r="P400" s="90"/>
      <c r="Q400" s="90"/>
      <c r="R400" s="90"/>
    </row>
    <row r="401" spans="1:18" x14ac:dyDescent="0.15">
      <c r="E401" s="52" t="s">
        <v>185</v>
      </c>
      <c r="F401" s="94">
        <f>SUM(H401:L401)</f>
        <v>29564000</v>
      </c>
      <c r="G401" s="99"/>
      <c r="H401" s="94">
        <f>H395+H397+H399</f>
        <v>5649000</v>
      </c>
      <c r="I401" s="94"/>
      <c r="J401" s="94">
        <f>J395+J397+J399</f>
        <v>16151000</v>
      </c>
      <c r="K401" s="94"/>
      <c r="L401" s="94">
        <f>L395+L397+L399</f>
        <v>7764000</v>
      </c>
      <c r="M401" s="94"/>
      <c r="N401" s="94">
        <f>N395+N397+N399</f>
        <v>15512000</v>
      </c>
      <c r="O401" s="94"/>
      <c r="P401" s="94">
        <f>P395+P397+P399</f>
        <v>14507000</v>
      </c>
      <c r="Q401" s="94"/>
      <c r="R401" s="94">
        <f>R395+R397+R399</f>
        <v>455000</v>
      </c>
    </row>
    <row r="402" spans="1:18" x14ac:dyDescent="0.15">
      <c r="A402" s="88"/>
      <c r="B402" s="88"/>
      <c r="C402" s="88"/>
      <c r="D402" s="88"/>
      <c r="E402" s="88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</row>
    <row r="403" spans="1:18" x14ac:dyDescent="0.15">
      <c r="A403" s="79" t="s">
        <v>186</v>
      </c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</row>
    <row r="404" spans="1:18" x14ac:dyDescent="0.15">
      <c r="A404" s="88"/>
      <c r="B404" s="88"/>
      <c r="C404" s="88"/>
      <c r="D404" s="88"/>
      <c r="E404" s="88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</row>
    <row r="405" spans="1:18" x14ac:dyDescent="0.15">
      <c r="B405" s="53" t="s">
        <v>13</v>
      </c>
      <c r="F405" s="94">
        <f>SUM(H405:L405)</f>
        <v>25894000</v>
      </c>
      <c r="G405" s="69"/>
      <c r="H405" s="95">
        <v>16351000</v>
      </c>
      <c r="I405" s="90"/>
      <c r="J405" s="95">
        <v>6811000</v>
      </c>
      <c r="K405" s="90"/>
      <c r="L405" s="95">
        <v>2732000</v>
      </c>
      <c r="M405" s="90"/>
      <c r="N405" s="95">
        <v>16943000</v>
      </c>
      <c r="O405" s="90"/>
      <c r="P405" s="95">
        <v>8951000</v>
      </c>
      <c r="Q405" s="90"/>
      <c r="R405" s="95">
        <v>0</v>
      </c>
    </row>
    <row r="406" spans="1:18" x14ac:dyDescent="0.15">
      <c r="B406" s="88"/>
      <c r="C406" s="88"/>
      <c r="D406" s="88"/>
      <c r="E406" s="88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</row>
    <row r="407" spans="1:18" x14ac:dyDescent="0.15">
      <c r="B407" s="53" t="s">
        <v>24</v>
      </c>
      <c r="C407" s="52"/>
      <c r="D407" s="52"/>
      <c r="E407" s="91"/>
      <c r="F407" s="94">
        <f>SUM(H407:L407)</f>
        <v>54257000</v>
      </c>
      <c r="G407" s="69"/>
      <c r="H407" s="95">
        <v>460000</v>
      </c>
      <c r="I407" s="90"/>
      <c r="J407" s="95">
        <v>2500000</v>
      </c>
      <c r="K407" s="90"/>
      <c r="L407" s="95">
        <v>51297000</v>
      </c>
      <c r="M407" s="90"/>
      <c r="N407" s="95">
        <v>16870000</v>
      </c>
      <c r="O407" s="90"/>
      <c r="P407" s="95">
        <v>37387000</v>
      </c>
      <c r="Q407" s="90"/>
      <c r="R407" s="95">
        <v>0</v>
      </c>
    </row>
    <row r="408" spans="1:18" x14ac:dyDescent="0.15">
      <c r="A408" s="88"/>
      <c r="B408" s="88"/>
      <c r="C408" s="88"/>
      <c r="D408" s="88"/>
      <c r="E408" s="88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</row>
    <row r="409" spans="1:18" x14ac:dyDescent="0.15">
      <c r="B409" s="53" t="s">
        <v>28</v>
      </c>
      <c r="F409" s="94">
        <f>SUM(H409:L409)</f>
        <v>1535000</v>
      </c>
      <c r="G409" s="69"/>
      <c r="H409" s="95">
        <v>6000</v>
      </c>
      <c r="I409" s="90"/>
      <c r="J409" s="95">
        <v>3000</v>
      </c>
      <c r="K409" s="90"/>
      <c r="L409" s="95">
        <v>1526000</v>
      </c>
      <c r="M409" s="90"/>
      <c r="N409" s="95">
        <v>666000</v>
      </c>
      <c r="O409" s="90"/>
      <c r="P409" s="95">
        <v>869000</v>
      </c>
      <c r="Q409" s="90"/>
      <c r="R409" s="95">
        <v>0</v>
      </c>
    </row>
    <row r="410" spans="1:18" x14ac:dyDescent="0.15">
      <c r="G410" s="69"/>
      <c r="H410" s="75"/>
      <c r="I410" s="75"/>
      <c r="J410" s="75"/>
      <c r="K410" s="75"/>
      <c r="L410" s="75"/>
      <c r="M410" s="75"/>
      <c r="N410" s="75"/>
      <c r="O410" s="75"/>
      <c r="P410" s="75"/>
      <c r="Q410" s="75"/>
      <c r="R410" s="75"/>
    </row>
    <row r="411" spans="1:18" x14ac:dyDescent="0.15">
      <c r="B411" s="53" t="s">
        <v>29</v>
      </c>
      <c r="F411" s="94">
        <f>SUM(H411:L411)</f>
        <v>843000</v>
      </c>
      <c r="G411" s="69"/>
      <c r="H411" s="95">
        <v>795000</v>
      </c>
      <c r="I411" s="90"/>
      <c r="J411" s="95">
        <v>43000</v>
      </c>
      <c r="K411" s="90"/>
      <c r="L411" s="95">
        <v>5000</v>
      </c>
      <c r="M411" s="90"/>
      <c r="N411" s="95">
        <v>532000</v>
      </c>
      <c r="O411" s="90"/>
      <c r="P411" s="95">
        <v>311000</v>
      </c>
      <c r="Q411" s="90"/>
      <c r="R411" s="95">
        <v>0</v>
      </c>
    </row>
    <row r="412" spans="1:18" x14ac:dyDescent="0.15">
      <c r="G412" s="69"/>
      <c r="H412" s="75"/>
      <c r="I412" s="75"/>
      <c r="J412" s="75"/>
      <c r="K412" s="75"/>
      <c r="L412" s="75"/>
      <c r="M412" s="75"/>
      <c r="N412" s="75"/>
      <c r="O412" s="75"/>
      <c r="P412" s="75"/>
      <c r="Q412" s="75"/>
      <c r="R412" s="75"/>
    </row>
    <row r="413" spans="1:18" x14ac:dyDescent="0.15">
      <c r="E413" s="52" t="s">
        <v>187</v>
      </c>
      <c r="F413" s="94">
        <f>SUM(H413:L413)</f>
        <v>82529000</v>
      </c>
      <c r="G413" s="69"/>
      <c r="H413" s="94">
        <f>+H405+H407+H411+H409</f>
        <v>17612000</v>
      </c>
      <c r="I413" s="75"/>
      <c r="J413" s="94">
        <f>+J405+J407+J411+J409</f>
        <v>9357000</v>
      </c>
      <c r="K413" s="75"/>
      <c r="L413" s="94">
        <f>+L405+L407+L411+L409</f>
        <v>55560000</v>
      </c>
      <c r="M413" s="75"/>
      <c r="N413" s="94">
        <f>+N405+N407+N411+N409</f>
        <v>35011000</v>
      </c>
      <c r="O413" s="75"/>
      <c r="P413" s="94">
        <f>+P405+P407+P411+P409</f>
        <v>47518000</v>
      </c>
      <c r="Q413" s="75"/>
      <c r="R413" s="94">
        <f>+R405+R407+R411+R409</f>
        <v>0</v>
      </c>
    </row>
    <row r="414" spans="1:18" x14ac:dyDescent="0.15">
      <c r="G414" s="69"/>
      <c r="H414" s="75"/>
      <c r="I414" s="75"/>
      <c r="J414" s="75"/>
      <c r="K414" s="75"/>
      <c r="L414" s="75"/>
      <c r="M414" s="75"/>
      <c r="N414" s="75"/>
      <c r="O414" s="75"/>
      <c r="P414" s="75"/>
      <c r="Q414" s="75"/>
      <c r="R414" s="75"/>
    </row>
    <row r="415" spans="1:18" x14ac:dyDescent="0.15">
      <c r="A415" s="79" t="s">
        <v>188</v>
      </c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</row>
    <row r="416" spans="1:18" x14ac:dyDescent="0.15">
      <c r="A416" s="79"/>
      <c r="B416" s="79" t="s">
        <v>189</v>
      </c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</row>
    <row r="417" spans="1:18" x14ac:dyDescent="0.15">
      <c r="A417" s="88"/>
      <c r="B417" s="88"/>
      <c r="C417" s="88"/>
      <c r="D417" s="88"/>
      <c r="E417" s="88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</row>
    <row r="418" spans="1:18" x14ac:dyDescent="0.15">
      <c r="B418" s="53" t="s">
        <v>13</v>
      </c>
      <c r="F418" s="94">
        <f>SUM(H418:L418)</f>
        <v>9445000</v>
      </c>
      <c r="G418" s="69"/>
      <c r="H418" s="95">
        <v>5384000</v>
      </c>
      <c r="I418" s="90"/>
      <c r="J418" s="95">
        <v>2197000</v>
      </c>
      <c r="K418" s="90"/>
      <c r="L418" s="95">
        <v>1864000</v>
      </c>
      <c r="M418" s="90"/>
      <c r="N418" s="95">
        <v>6042000</v>
      </c>
      <c r="O418" s="90"/>
      <c r="P418" s="95">
        <v>3403000</v>
      </c>
      <c r="Q418" s="90"/>
      <c r="R418" s="95">
        <v>0</v>
      </c>
    </row>
    <row r="419" spans="1:18" x14ac:dyDescent="0.15">
      <c r="A419" s="88"/>
      <c r="B419" s="88"/>
      <c r="C419" s="88"/>
      <c r="D419" s="88"/>
      <c r="E419" s="88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</row>
    <row r="420" spans="1:18" x14ac:dyDescent="0.15">
      <c r="B420" s="53" t="s">
        <v>24</v>
      </c>
      <c r="F420" s="94">
        <f>SUM(H420:L420)</f>
        <v>828000</v>
      </c>
      <c r="G420" s="69"/>
      <c r="H420" s="95">
        <v>81000</v>
      </c>
      <c r="I420" s="90"/>
      <c r="J420" s="95">
        <v>228000</v>
      </c>
      <c r="K420" s="90"/>
      <c r="L420" s="95">
        <v>519000</v>
      </c>
      <c r="M420" s="90"/>
      <c r="N420" s="95">
        <v>605000</v>
      </c>
      <c r="O420" s="90"/>
      <c r="P420" s="95">
        <v>223000</v>
      </c>
      <c r="Q420" s="90"/>
      <c r="R420" s="95">
        <v>0</v>
      </c>
    </row>
    <row r="421" spans="1:18" x14ac:dyDescent="0.15"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</row>
    <row r="422" spans="1:18" x14ac:dyDescent="0.15">
      <c r="B422" s="53" t="s">
        <v>28</v>
      </c>
      <c r="F422" s="94">
        <f>SUM(H422:L422)</f>
        <v>477000</v>
      </c>
      <c r="G422" s="69"/>
      <c r="H422" s="95">
        <v>285000</v>
      </c>
      <c r="I422" s="90"/>
      <c r="J422" s="95">
        <v>7000</v>
      </c>
      <c r="K422" s="90"/>
      <c r="L422" s="95">
        <v>185000</v>
      </c>
      <c r="M422" s="90"/>
      <c r="N422" s="95">
        <v>100000</v>
      </c>
      <c r="O422" s="90"/>
      <c r="P422" s="95">
        <v>377000</v>
      </c>
      <c r="Q422" s="90"/>
      <c r="R422" s="95">
        <v>0</v>
      </c>
    </row>
    <row r="423" spans="1:18" x14ac:dyDescent="0.15"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</row>
    <row r="424" spans="1:18" x14ac:dyDescent="0.15">
      <c r="E424" s="52" t="s">
        <v>190</v>
      </c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</row>
    <row r="425" spans="1:18" x14ac:dyDescent="0.15">
      <c r="E425" s="52" t="s">
        <v>191</v>
      </c>
      <c r="F425" s="94">
        <f>SUM(H425:L425)</f>
        <v>10750000</v>
      </c>
      <c r="G425" s="69"/>
      <c r="H425" s="94">
        <f>H418+H420+H422</f>
        <v>5750000</v>
      </c>
      <c r="I425" s="75"/>
      <c r="J425" s="94">
        <f>J418+J420+J422</f>
        <v>2432000</v>
      </c>
      <c r="K425" s="75"/>
      <c r="L425" s="94">
        <f>L418+L420+L422</f>
        <v>2568000</v>
      </c>
      <c r="M425" s="75"/>
      <c r="N425" s="94">
        <f>N418+N420+N422</f>
        <v>6747000</v>
      </c>
      <c r="O425" s="75"/>
      <c r="P425" s="94">
        <f>P418+P420+P422</f>
        <v>4003000</v>
      </c>
      <c r="Q425" s="75"/>
      <c r="R425" s="94">
        <f>R418+R420+R422</f>
        <v>0</v>
      </c>
    </row>
    <row r="426" spans="1:18" x14ac:dyDescent="0.15">
      <c r="A426" s="88"/>
      <c r="B426" s="88"/>
      <c r="C426" s="88"/>
      <c r="D426" s="88"/>
      <c r="E426" s="88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</row>
    <row r="427" spans="1:18" x14ac:dyDescent="0.15">
      <c r="A427" s="79" t="s">
        <v>192</v>
      </c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</row>
    <row r="428" spans="1:18" x14ac:dyDescent="0.15">
      <c r="A428" s="88"/>
      <c r="B428" s="88"/>
      <c r="C428" s="88"/>
      <c r="D428" s="88"/>
      <c r="E428" s="88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</row>
    <row r="429" spans="1:18" x14ac:dyDescent="0.15">
      <c r="B429" s="53" t="s">
        <v>13</v>
      </c>
      <c r="F429" s="94">
        <f>SUM(H429:L429)</f>
        <v>35892000</v>
      </c>
      <c r="G429" s="69"/>
      <c r="H429" s="95">
        <v>5287000</v>
      </c>
      <c r="I429" s="90"/>
      <c r="J429" s="95">
        <v>842000</v>
      </c>
      <c r="K429" s="90"/>
      <c r="L429" s="95">
        <v>29763000</v>
      </c>
      <c r="M429" s="90"/>
      <c r="N429" s="95">
        <v>6601000</v>
      </c>
      <c r="O429" s="90"/>
      <c r="P429" s="95">
        <v>29291000</v>
      </c>
      <c r="Q429" s="90"/>
      <c r="R429" s="95">
        <v>0</v>
      </c>
    </row>
    <row r="430" spans="1:18" x14ac:dyDescent="0.15">
      <c r="A430" s="88"/>
      <c r="B430" s="88"/>
      <c r="C430" s="88"/>
      <c r="D430" s="88"/>
      <c r="E430" s="88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</row>
    <row r="431" spans="1:18" x14ac:dyDescent="0.15">
      <c r="B431" s="53" t="s">
        <v>24</v>
      </c>
      <c r="F431" s="94">
        <f>SUM(H431:L431)</f>
        <v>1770000</v>
      </c>
      <c r="G431" s="69"/>
      <c r="H431" s="95">
        <v>9000</v>
      </c>
      <c r="I431" s="90"/>
      <c r="J431" s="95">
        <v>97000</v>
      </c>
      <c r="K431" s="90"/>
      <c r="L431" s="95">
        <v>1664000</v>
      </c>
      <c r="M431" s="90"/>
      <c r="N431" s="95">
        <v>1131000</v>
      </c>
      <c r="O431" s="90"/>
      <c r="P431" s="95">
        <v>639000</v>
      </c>
      <c r="Q431" s="90"/>
      <c r="R431" s="95">
        <v>0</v>
      </c>
    </row>
    <row r="432" spans="1:18" x14ac:dyDescent="0.15">
      <c r="A432" s="88"/>
      <c r="B432" s="88"/>
      <c r="C432" s="88"/>
      <c r="D432" s="88"/>
      <c r="E432" s="88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</row>
    <row r="433" spans="1:18" x14ac:dyDescent="0.15">
      <c r="B433" s="53" t="s">
        <v>28</v>
      </c>
      <c r="F433" s="94">
        <f>SUM(H433:L433)</f>
        <v>889000</v>
      </c>
      <c r="G433" s="69"/>
      <c r="H433" s="95">
        <v>0</v>
      </c>
      <c r="I433" s="90"/>
      <c r="J433" s="95">
        <v>307000</v>
      </c>
      <c r="K433" s="90"/>
      <c r="L433" s="95">
        <v>582000</v>
      </c>
      <c r="M433" s="90"/>
      <c r="N433" s="95">
        <v>493000</v>
      </c>
      <c r="O433" s="90"/>
      <c r="P433" s="95">
        <v>396000</v>
      </c>
      <c r="Q433" s="90"/>
      <c r="R433" s="95">
        <v>0</v>
      </c>
    </row>
    <row r="434" spans="1:18" x14ac:dyDescent="0.15">
      <c r="G434" s="69"/>
      <c r="H434" s="90"/>
      <c r="I434" s="90"/>
      <c r="J434" s="90"/>
      <c r="K434" s="90"/>
      <c r="L434" s="90"/>
      <c r="M434" s="90"/>
      <c r="N434" s="90"/>
      <c r="O434" s="90"/>
      <c r="P434" s="90"/>
      <c r="Q434" s="90"/>
      <c r="R434" s="90"/>
    </row>
    <row r="435" spans="1:18" x14ac:dyDescent="0.15">
      <c r="B435" s="53" t="s">
        <v>29</v>
      </c>
      <c r="F435" s="94">
        <f>SUM(H435:L435)</f>
        <v>33000</v>
      </c>
      <c r="G435" s="69"/>
      <c r="H435" s="95">
        <v>0</v>
      </c>
      <c r="I435" s="90"/>
      <c r="J435" s="95">
        <v>25000</v>
      </c>
      <c r="K435" s="90"/>
      <c r="L435" s="95">
        <v>8000</v>
      </c>
      <c r="M435" s="90"/>
      <c r="N435" s="95">
        <v>24000</v>
      </c>
      <c r="O435" s="90"/>
      <c r="P435" s="95">
        <v>9000</v>
      </c>
      <c r="Q435" s="90"/>
      <c r="R435" s="95">
        <v>0</v>
      </c>
    </row>
    <row r="436" spans="1:18" x14ac:dyDescent="0.15"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</row>
    <row r="437" spans="1:18" x14ac:dyDescent="0.15">
      <c r="E437" s="52" t="s">
        <v>193</v>
      </c>
      <c r="F437" s="94">
        <f>SUM(H437:L437)</f>
        <v>38584000</v>
      </c>
      <c r="G437" s="69"/>
      <c r="H437" s="94">
        <f>+H429+H431+H433+H435</f>
        <v>5296000</v>
      </c>
      <c r="I437" s="75"/>
      <c r="J437" s="94">
        <f>+J429+J431+J433+J435</f>
        <v>1271000</v>
      </c>
      <c r="K437" s="75"/>
      <c r="L437" s="94">
        <f>+L429+L431+L433+L435</f>
        <v>32017000</v>
      </c>
      <c r="M437" s="75"/>
      <c r="N437" s="94">
        <f>+N429+N431+N433+N435</f>
        <v>8249000</v>
      </c>
      <c r="O437" s="75"/>
      <c r="P437" s="94">
        <f>+P429+P431+P433+P435</f>
        <v>30335000</v>
      </c>
      <c r="Q437" s="75"/>
      <c r="R437" s="94">
        <f>+R429+R431+R433</f>
        <v>0</v>
      </c>
    </row>
    <row r="438" spans="1:18" x14ac:dyDescent="0.15">
      <c r="A438" s="88"/>
      <c r="B438" s="88"/>
      <c r="C438" s="88"/>
      <c r="D438" s="88"/>
      <c r="E438" s="88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</row>
    <row r="439" spans="1:18" x14ac:dyDescent="0.15">
      <c r="A439" s="79" t="s">
        <v>194</v>
      </c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</row>
    <row r="440" spans="1:18" x14ac:dyDescent="0.15"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</row>
    <row r="441" spans="1:18" x14ac:dyDescent="0.15">
      <c r="B441" s="53" t="s">
        <v>13</v>
      </c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</row>
    <row r="442" spans="1:18" x14ac:dyDescent="0.15">
      <c r="C442" s="52" t="s">
        <v>195</v>
      </c>
      <c r="D442" s="52"/>
      <c r="E442" s="91"/>
      <c r="F442" s="75">
        <f t="shared" ref="F442:F448" si="15">SUM(H442:L442)</f>
        <v>393000</v>
      </c>
      <c r="G442" s="92"/>
      <c r="H442" s="90">
        <v>27000</v>
      </c>
      <c r="I442" s="93"/>
      <c r="J442" s="90">
        <v>13000</v>
      </c>
      <c r="K442" s="93"/>
      <c r="L442" s="90">
        <v>353000</v>
      </c>
      <c r="M442" s="93"/>
      <c r="N442" s="90">
        <v>151000</v>
      </c>
      <c r="O442" s="93"/>
      <c r="P442" s="90">
        <v>242000</v>
      </c>
      <c r="Q442" s="93"/>
      <c r="R442" s="90">
        <v>0</v>
      </c>
    </row>
    <row r="443" spans="1:18" x14ac:dyDescent="0.15">
      <c r="C443" s="52" t="s">
        <v>196</v>
      </c>
      <c r="D443" s="52"/>
      <c r="E443" s="91"/>
      <c r="F443" s="75">
        <f t="shared" si="15"/>
        <v>71000</v>
      </c>
      <c r="G443" s="92"/>
      <c r="H443" s="90">
        <v>0</v>
      </c>
      <c r="I443" s="93"/>
      <c r="J443" s="90">
        <v>0</v>
      </c>
      <c r="K443" s="93"/>
      <c r="L443" s="90">
        <v>71000</v>
      </c>
      <c r="M443" s="93"/>
      <c r="N443" s="90">
        <v>10000</v>
      </c>
      <c r="O443" s="93"/>
      <c r="P443" s="90">
        <v>61000</v>
      </c>
      <c r="Q443" s="93"/>
      <c r="R443" s="90">
        <v>0</v>
      </c>
    </row>
    <row r="444" spans="1:18" x14ac:dyDescent="0.15">
      <c r="C444" s="91" t="s">
        <v>198</v>
      </c>
      <c r="D444" s="91"/>
      <c r="F444" s="75">
        <f t="shared" si="15"/>
        <v>28000</v>
      </c>
      <c r="G444" s="92"/>
      <c r="H444" s="90">
        <v>-10000</v>
      </c>
      <c r="I444" s="93"/>
      <c r="J444" s="90">
        <v>1000</v>
      </c>
      <c r="K444" s="93"/>
      <c r="L444" s="90">
        <v>37000</v>
      </c>
      <c r="M444" s="93"/>
      <c r="N444" s="90">
        <v>10000</v>
      </c>
      <c r="O444" s="93"/>
      <c r="P444" s="90">
        <v>18000</v>
      </c>
      <c r="Q444" s="93"/>
      <c r="R444" s="90">
        <v>0</v>
      </c>
    </row>
    <row r="445" spans="1:18" x14ac:dyDescent="0.15">
      <c r="C445" s="91" t="s">
        <v>199</v>
      </c>
      <c r="D445" s="91"/>
      <c r="F445" s="75">
        <f t="shared" si="15"/>
        <v>21000</v>
      </c>
      <c r="G445" s="92"/>
      <c r="H445" s="90">
        <v>0</v>
      </c>
      <c r="I445" s="93"/>
      <c r="J445" s="90">
        <v>0</v>
      </c>
      <c r="K445" s="93"/>
      <c r="L445" s="90">
        <v>21000</v>
      </c>
      <c r="M445" s="93"/>
      <c r="N445" s="90">
        <v>15000</v>
      </c>
      <c r="O445" s="93"/>
      <c r="P445" s="90">
        <v>6000</v>
      </c>
      <c r="Q445" s="93"/>
      <c r="R445" s="90">
        <v>0</v>
      </c>
    </row>
    <row r="446" spans="1:18" x14ac:dyDescent="0.15">
      <c r="C446" s="91" t="s">
        <v>200</v>
      </c>
      <c r="D446" s="91"/>
      <c r="F446" s="75">
        <f t="shared" si="15"/>
        <v>10000</v>
      </c>
      <c r="G446" s="92"/>
      <c r="H446" s="90">
        <v>0</v>
      </c>
      <c r="I446" s="93"/>
      <c r="J446" s="90">
        <v>7000</v>
      </c>
      <c r="K446" s="93"/>
      <c r="L446" s="90">
        <v>3000</v>
      </c>
      <c r="M446" s="93"/>
      <c r="N446" s="90">
        <v>0</v>
      </c>
      <c r="O446" s="93"/>
      <c r="P446" s="90">
        <v>10000</v>
      </c>
      <c r="Q446" s="93"/>
      <c r="R446" s="90">
        <v>0</v>
      </c>
    </row>
    <row r="447" spans="1:18" x14ac:dyDescent="0.15">
      <c r="C447" s="91" t="s">
        <v>115</v>
      </c>
      <c r="D447" s="91"/>
      <c r="F447" s="75">
        <f t="shared" si="15"/>
        <v>336000</v>
      </c>
      <c r="G447" s="92"/>
      <c r="H447" s="90">
        <v>118000</v>
      </c>
      <c r="I447" s="93"/>
      <c r="J447" s="90">
        <v>221000</v>
      </c>
      <c r="K447" s="93"/>
      <c r="L447" s="90">
        <v>-3000</v>
      </c>
      <c r="M447" s="93"/>
      <c r="N447" s="90">
        <v>236000</v>
      </c>
      <c r="O447" s="93"/>
      <c r="P447" s="90">
        <v>100000</v>
      </c>
      <c r="Q447" s="93"/>
      <c r="R447" s="90">
        <v>0</v>
      </c>
    </row>
    <row r="448" spans="1:18" x14ac:dyDescent="0.15">
      <c r="C448" s="91" t="s">
        <v>201</v>
      </c>
      <c r="D448" s="91"/>
      <c r="F448" s="75">
        <f t="shared" si="15"/>
        <v>14000</v>
      </c>
      <c r="G448" s="92"/>
      <c r="H448" s="90">
        <v>6000</v>
      </c>
      <c r="I448" s="93"/>
      <c r="J448" s="90">
        <v>0</v>
      </c>
      <c r="K448" s="93"/>
      <c r="L448" s="90">
        <v>8000</v>
      </c>
      <c r="M448" s="93"/>
      <c r="N448" s="90">
        <v>-1000</v>
      </c>
      <c r="O448" s="93"/>
      <c r="P448" s="90">
        <v>15000</v>
      </c>
      <c r="Q448" s="93"/>
      <c r="R448" s="90">
        <v>0</v>
      </c>
    </row>
    <row r="449" spans="1:18" x14ac:dyDescent="0.15">
      <c r="C449" s="52" t="s">
        <v>203</v>
      </c>
      <c r="D449" s="52"/>
      <c r="E449" s="91"/>
      <c r="F449" s="94">
        <f>SUM(H449:L449)</f>
        <v>224000</v>
      </c>
      <c r="G449" s="69"/>
      <c r="H449" s="95">
        <v>0</v>
      </c>
      <c r="I449" s="90"/>
      <c r="J449" s="95">
        <v>0</v>
      </c>
      <c r="K449" s="90"/>
      <c r="L449" s="95">
        <v>224000</v>
      </c>
      <c r="M449" s="90"/>
      <c r="N449" s="95">
        <v>56000</v>
      </c>
      <c r="O449" s="90"/>
      <c r="P449" s="95">
        <v>168000</v>
      </c>
      <c r="Q449" s="90"/>
      <c r="R449" s="95">
        <v>0</v>
      </c>
    </row>
    <row r="450" spans="1:18" x14ac:dyDescent="0.15"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</row>
    <row r="451" spans="1:18" x14ac:dyDescent="0.15">
      <c r="E451" s="52" t="s">
        <v>3</v>
      </c>
      <c r="F451" s="94">
        <f>SUM(H451:L451)</f>
        <v>1097000</v>
      </c>
      <c r="G451" s="69"/>
      <c r="H451" s="94">
        <f>SUM(H442:H450)</f>
        <v>141000</v>
      </c>
      <c r="I451" s="75"/>
      <c r="J451" s="94">
        <f>SUM(J442:J450)</f>
        <v>242000</v>
      </c>
      <c r="K451" s="75"/>
      <c r="L451" s="94">
        <f>SUM(L442:L450)</f>
        <v>714000</v>
      </c>
      <c r="M451" s="75"/>
      <c r="N451" s="94">
        <f>SUM(N442:N450)</f>
        <v>477000</v>
      </c>
      <c r="O451" s="75"/>
      <c r="P451" s="94">
        <f>SUM(P442:P450)</f>
        <v>620000</v>
      </c>
      <c r="Q451" s="75"/>
      <c r="R451" s="94">
        <f>SUM(R442:R450)</f>
        <v>0</v>
      </c>
    </row>
    <row r="452" spans="1:18" x14ac:dyDescent="0.15">
      <c r="A452" s="88"/>
      <c r="B452" s="88"/>
      <c r="C452" s="88"/>
      <c r="D452" s="88"/>
      <c r="E452" s="88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</row>
    <row r="453" spans="1:18" x14ac:dyDescent="0.15">
      <c r="B453" s="53" t="s">
        <v>24</v>
      </c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</row>
    <row r="454" spans="1:18" x14ac:dyDescent="0.15">
      <c r="C454" s="52" t="s">
        <v>195</v>
      </c>
      <c r="D454" s="52"/>
      <c r="E454" s="91"/>
      <c r="F454" s="75">
        <f t="shared" ref="F454:F462" si="16">SUM(H454:L454)</f>
        <v>165000</v>
      </c>
      <c r="G454" s="92"/>
      <c r="H454" s="90">
        <v>91000</v>
      </c>
      <c r="I454" s="93"/>
      <c r="J454" s="90">
        <v>48000</v>
      </c>
      <c r="K454" s="93"/>
      <c r="L454" s="90">
        <v>26000</v>
      </c>
      <c r="M454" s="93"/>
      <c r="N454" s="90">
        <v>99000</v>
      </c>
      <c r="O454" s="93"/>
      <c r="P454" s="90">
        <v>66000</v>
      </c>
      <c r="Q454" s="93"/>
      <c r="R454" s="90">
        <v>0</v>
      </c>
    </row>
    <row r="455" spans="1:18" x14ac:dyDescent="0.15">
      <c r="C455" s="52" t="s">
        <v>196</v>
      </c>
      <c r="D455" s="52"/>
      <c r="E455" s="91"/>
      <c r="F455" s="75">
        <f t="shared" si="16"/>
        <v>466000</v>
      </c>
      <c r="G455" s="92"/>
      <c r="H455" s="90">
        <v>84000</v>
      </c>
      <c r="I455" s="93"/>
      <c r="J455" s="90">
        <v>15000</v>
      </c>
      <c r="K455" s="93"/>
      <c r="L455" s="90">
        <v>367000</v>
      </c>
      <c r="M455" s="93"/>
      <c r="N455" s="90">
        <v>309000</v>
      </c>
      <c r="O455" s="93"/>
      <c r="P455" s="90">
        <v>157000</v>
      </c>
      <c r="Q455" s="93"/>
      <c r="R455" s="90">
        <v>0</v>
      </c>
    </row>
    <row r="456" spans="1:18" x14ac:dyDescent="0.15">
      <c r="C456" s="52" t="s">
        <v>197</v>
      </c>
      <c r="D456" s="52"/>
      <c r="E456" s="91"/>
      <c r="F456" s="75">
        <f t="shared" si="16"/>
        <v>149000</v>
      </c>
      <c r="G456" s="92"/>
      <c r="H456" s="90">
        <v>106000</v>
      </c>
      <c r="I456" s="93"/>
      <c r="J456" s="90">
        <v>-10000</v>
      </c>
      <c r="K456" s="93"/>
      <c r="L456" s="90">
        <v>53000</v>
      </c>
      <c r="M456" s="93"/>
      <c r="N456" s="90">
        <v>90000</v>
      </c>
      <c r="O456" s="93"/>
      <c r="P456" s="90">
        <v>69000</v>
      </c>
      <c r="Q456" s="93"/>
      <c r="R456" s="90">
        <v>10000</v>
      </c>
    </row>
    <row r="457" spans="1:18" x14ac:dyDescent="0.15">
      <c r="C457" s="91" t="s">
        <v>198</v>
      </c>
      <c r="D457" s="91"/>
      <c r="F457" s="75">
        <f t="shared" si="16"/>
        <v>3802000</v>
      </c>
      <c r="G457" s="92"/>
      <c r="H457" s="90">
        <v>302000</v>
      </c>
      <c r="I457" s="93"/>
      <c r="J457" s="90">
        <v>1294000</v>
      </c>
      <c r="K457" s="93"/>
      <c r="L457" s="90">
        <v>2206000</v>
      </c>
      <c r="M457" s="93"/>
      <c r="N457" s="90">
        <v>1528000</v>
      </c>
      <c r="O457" s="93"/>
      <c r="P457" s="90">
        <v>2423000</v>
      </c>
      <c r="Q457" s="93"/>
      <c r="R457" s="90">
        <v>149000</v>
      </c>
    </row>
    <row r="458" spans="1:18" x14ac:dyDescent="0.15">
      <c r="C458" s="91" t="s">
        <v>199</v>
      </c>
      <c r="D458" s="91"/>
      <c r="F458" s="75">
        <f t="shared" si="16"/>
        <v>790000</v>
      </c>
      <c r="G458" s="92"/>
      <c r="H458" s="90">
        <v>331000</v>
      </c>
      <c r="I458" s="93"/>
      <c r="J458" s="90">
        <v>2000</v>
      </c>
      <c r="K458" s="93"/>
      <c r="L458" s="90">
        <v>457000</v>
      </c>
      <c r="M458" s="93"/>
      <c r="N458" s="90">
        <v>413000</v>
      </c>
      <c r="O458" s="93"/>
      <c r="P458" s="90">
        <v>377000</v>
      </c>
      <c r="Q458" s="93"/>
      <c r="R458" s="90">
        <v>0</v>
      </c>
    </row>
    <row r="459" spans="1:18" x14ac:dyDescent="0.15">
      <c r="C459" s="91" t="s">
        <v>200</v>
      </c>
      <c r="D459" s="91"/>
      <c r="F459" s="75">
        <f t="shared" si="16"/>
        <v>3094000</v>
      </c>
      <c r="G459" s="92"/>
      <c r="H459" s="90">
        <v>426000</v>
      </c>
      <c r="I459" s="93"/>
      <c r="J459" s="90">
        <v>645000</v>
      </c>
      <c r="K459" s="93"/>
      <c r="L459" s="90">
        <v>2023000</v>
      </c>
      <c r="M459" s="93"/>
      <c r="N459" s="90">
        <v>1139000</v>
      </c>
      <c r="O459" s="93"/>
      <c r="P459" s="90">
        <v>1955000</v>
      </c>
      <c r="Q459" s="93"/>
      <c r="R459" s="90">
        <v>0</v>
      </c>
    </row>
    <row r="460" spans="1:18" x14ac:dyDescent="0.15">
      <c r="C460" s="91" t="s">
        <v>115</v>
      </c>
      <c r="D460" s="91"/>
      <c r="F460" s="75">
        <f t="shared" si="16"/>
        <v>370000</v>
      </c>
      <c r="G460" s="92"/>
      <c r="H460" s="90">
        <v>82000</v>
      </c>
      <c r="I460" s="93"/>
      <c r="J460" s="90">
        <v>114000</v>
      </c>
      <c r="K460" s="93"/>
      <c r="L460" s="90">
        <v>174000</v>
      </c>
      <c r="M460" s="93"/>
      <c r="N460" s="90">
        <v>112000</v>
      </c>
      <c r="O460" s="93"/>
      <c r="P460" s="90">
        <v>258000</v>
      </c>
      <c r="Q460" s="93"/>
      <c r="R460" s="90">
        <v>0</v>
      </c>
    </row>
    <row r="461" spans="1:18" x14ac:dyDescent="0.15">
      <c r="C461" s="91" t="s">
        <v>201</v>
      </c>
      <c r="D461" s="91"/>
      <c r="F461" s="75">
        <f t="shared" si="16"/>
        <v>489000</v>
      </c>
      <c r="G461" s="92"/>
      <c r="H461" s="90">
        <v>104000</v>
      </c>
      <c r="I461" s="93"/>
      <c r="J461" s="90">
        <v>30000</v>
      </c>
      <c r="K461" s="93"/>
      <c r="L461" s="90">
        <v>355000</v>
      </c>
      <c r="M461" s="93"/>
      <c r="N461" s="90">
        <v>250000</v>
      </c>
      <c r="O461" s="93"/>
      <c r="P461" s="90">
        <v>239000</v>
      </c>
      <c r="Q461" s="93"/>
      <c r="R461" s="90">
        <v>0</v>
      </c>
    </row>
    <row r="462" spans="1:18" x14ac:dyDescent="0.15">
      <c r="C462" s="52" t="s">
        <v>202</v>
      </c>
      <c r="D462" s="52"/>
      <c r="E462" s="91"/>
      <c r="F462" s="75">
        <f t="shared" si="16"/>
        <v>632000</v>
      </c>
      <c r="G462" s="92"/>
      <c r="H462" s="90">
        <v>172000</v>
      </c>
      <c r="I462" s="93"/>
      <c r="J462" s="90">
        <v>-1000</v>
      </c>
      <c r="K462" s="93"/>
      <c r="L462" s="90">
        <v>461000</v>
      </c>
      <c r="M462" s="93"/>
      <c r="N462" s="90">
        <v>358000</v>
      </c>
      <c r="O462" s="93"/>
      <c r="P462" s="90">
        <v>274000</v>
      </c>
      <c r="Q462" s="93"/>
      <c r="R462" s="90">
        <v>0</v>
      </c>
    </row>
    <row r="463" spans="1:18" x14ac:dyDescent="0.15">
      <c r="C463" s="52" t="s">
        <v>203</v>
      </c>
      <c r="D463" s="52"/>
      <c r="E463" s="91"/>
      <c r="F463" s="94">
        <f>SUM(H463:L463)</f>
        <v>494000</v>
      </c>
      <c r="G463" s="69"/>
      <c r="H463" s="95">
        <v>147000</v>
      </c>
      <c r="I463" s="90"/>
      <c r="J463" s="95">
        <v>51000</v>
      </c>
      <c r="K463" s="90"/>
      <c r="L463" s="95">
        <v>296000</v>
      </c>
      <c r="M463" s="90"/>
      <c r="N463" s="95">
        <v>150000</v>
      </c>
      <c r="O463" s="90"/>
      <c r="P463" s="95">
        <v>344000</v>
      </c>
      <c r="Q463" s="90"/>
      <c r="R463" s="95">
        <v>0</v>
      </c>
    </row>
    <row r="464" spans="1:18" x14ac:dyDescent="0.15"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</row>
    <row r="465" spans="1:18" x14ac:dyDescent="0.15">
      <c r="E465" s="52" t="s">
        <v>3</v>
      </c>
      <c r="F465" s="94">
        <f>SUM(H465:L465)</f>
        <v>10451000</v>
      </c>
      <c r="G465" s="69"/>
      <c r="H465" s="94">
        <f>SUM(H454:H464)</f>
        <v>1845000</v>
      </c>
      <c r="I465" s="75"/>
      <c r="J465" s="94">
        <f>SUM(J454:J464)</f>
        <v>2188000</v>
      </c>
      <c r="K465" s="75"/>
      <c r="L465" s="94">
        <f>SUM(L454:L464)</f>
        <v>6418000</v>
      </c>
      <c r="M465" s="75"/>
      <c r="N465" s="94">
        <f>SUM(N454:N464)</f>
        <v>4448000</v>
      </c>
      <c r="O465" s="75"/>
      <c r="P465" s="94">
        <f>SUM(P454:P464)</f>
        <v>6162000</v>
      </c>
      <c r="Q465" s="75"/>
      <c r="R465" s="94">
        <f>SUM(R454:R464)</f>
        <v>159000</v>
      </c>
    </row>
    <row r="466" spans="1:18" x14ac:dyDescent="0.15">
      <c r="A466" s="88"/>
      <c r="B466" s="88"/>
      <c r="C466" s="88"/>
      <c r="D466" s="88"/>
      <c r="E466" s="88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</row>
    <row r="467" spans="1:18" x14ac:dyDescent="0.15">
      <c r="B467" s="53" t="s">
        <v>28</v>
      </c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</row>
    <row r="468" spans="1:18" x14ac:dyDescent="0.15">
      <c r="C468" s="91" t="s">
        <v>198</v>
      </c>
      <c r="D468" s="91"/>
      <c r="F468" s="75">
        <f>SUM(H468:L468)</f>
        <v>94000</v>
      </c>
      <c r="G468" s="92"/>
      <c r="H468" s="90">
        <v>0</v>
      </c>
      <c r="I468" s="93"/>
      <c r="J468" s="90">
        <v>4000</v>
      </c>
      <c r="K468" s="93"/>
      <c r="L468" s="90">
        <v>90000</v>
      </c>
      <c r="M468" s="93"/>
      <c r="N468" s="90">
        <v>41000</v>
      </c>
      <c r="O468" s="93"/>
      <c r="P468" s="90">
        <v>53000</v>
      </c>
      <c r="Q468" s="93"/>
      <c r="R468" s="90">
        <v>0</v>
      </c>
    </row>
    <row r="469" spans="1:18" x14ac:dyDescent="0.15">
      <c r="C469" s="91" t="s">
        <v>115</v>
      </c>
      <c r="D469" s="91"/>
      <c r="F469" s="75">
        <f>SUM(H469:L469)</f>
        <v>14000</v>
      </c>
      <c r="G469" s="92"/>
      <c r="H469" s="90">
        <v>0</v>
      </c>
      <c r="I469" s="93"/>
      <c r="J469" s="90">
        <v>1000</v>
      </c>
      <c r="K469" s="93"/>
      <c r="L469" s="90">
        <v>13000</v>
      </c>
      <c r="M469" s="93"/>
      <c r="N469" s="90">
        <v>1000</v>
      </c>
      <c r="O469" s="93"/>
      <c r="P469" s="90">
        <v>13000</v>
      </c>
      <c r="Q469" s="93"/>
      <c r="R469" s="90">
        <v>0</v>
      </c>
    </row>
    <row r="470" spans="1:18" x14ac:dyDescent="0.15">
      <c r="C470" s="52" t="s">
        <v>203</v>
      </c>
      <c r="D470" s="91"/>
      <c r="F470" s="75">
        <f t="shared" ref="F470" si="17">SUM(H470:L470)</f>
        <v>10000</v>
      </c>
      <c r="G470" s="92"/>
      <c r="H470" s="90">
        <v>0</v>
      </c>
      <c r="I470" s="93"/>
      <c r="J470" s="90">
        <v>0</v>
      </c>
      <c r="K470" s="93"/>
      <c r="L470" s="90">
        <v>10000</v>
      </c>
      <c r="M470" s="93"/>
      <c r="N470" s="90">
        <v>6000</v>
      </c>
      <c r="O470" s="93"/>
      <c r="P470" s="90">
        <v>4000</v>
      </c>
      <c r="Q470" s="93"/>
      <c r="R470" s="90">
        <v>0</v>
      </c>
    </row>
    <row r="471" spans="1:18" x14ac:dyDescent="0.15">
      <c r="F471" s="65"/>
      <c r="G471" s="69"/>
      <c r="H471" s="66"/>
      <c r="I471" s="69"/>
      <c r="J471" s="66"/>
      <c r="K471" s="69"/>
      <c r="L471" s="66"/>
      <c r="M471" s="69"/>
      <c r="N471" s="66"/>
      <c r="O471" s="69"/>
      <c r="P471" s="66"/>
      <c r="Q471" s="69"/>
      <c r="R471" s="66"/>
    </row>
    <row r="472" spans="1:18" x14ac:dyDescent="0.15">
      <c r="E472" s="52" t="s">
        <v>3</v>
      </c>
      <c r="F472" s="94">
        <f>SUM(H472:L472)</f>
        <v>118000</v>
      </c>
      <c r="G472" s="69"/>
      <c r="H472" s="94">
        <f>SUM(H468:H470)</f>
        <v>0</v>
      </c>
      <c r="I472" s="75"/>
      <c r="J472" s="94">
        <f>SUM(J468:J470)</f>
        <v>5000</v>
      </c>
      <c r="K472" s="75"/>
      <c r="L472" s="94">
        <f>SUM(L468:L470)</f>
        <v>113000</v>
      </c>
      <c r="M472" s="75"/>
      <c r="N472" s="94">
        <f>SUM(N468:N470)</f>
        <v>48000</v>
      </c>
      <c r="O472" s="75"/>
      <c r="P472" s="94">
        <f>SUM(P468:P470)</f>
        <v>70000</v>
      </c>
      <c r="Q472" s="75"/>
      <c r="R472" s="94">
        <f>SUM(R468:R470)</f>
        <v>0</v>
      </c>
    </row>
    <row r="473" spans="1:18" x14ac:dyDescent="0.15">
      <c r="G473" s="69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5"/>
    </row>
    <row r="474" spans="1:18" x14ac:dyDescent="0.15">
      <c r="B474" s="53" t="s">
        <v>29</v>
      </c>
      <c r="F474" s="94">
        <f>SUM(H474:L474)</f>
        <v>-12000</v>
      </c>
      <c r="G474" s="69"/>
      <c r="H474" s="95">
        <v>0</v>
      </c>
      <c r="I474" s="90"/>
      <c r="J474" s="95">
        <v>-12000</v>
      </c>
      <c r="K474" s="90"/>
      <c r="L474" s="95">
        <v>0</v>
      </c>
      <c r="M474" s="90"/>
      <c r="N474" s="95">
        <v>0</v>
      </c>
      <c r="O474" s="90"/>
      <c r="P474" s="95">
        <v>0</v>
      </c>
      <c r="Q474" s="90"/>
      <c r="R474" s="95">
        <v>12000</v>
      </c>
    </row>
    <row r="475" spans="1:18" x14ac:dyDescent="0.15">
      <c r="G475" s="69"/>
      <c r="H475" s="75"/>
      <c r="I475" s="75"/>
      <c r="J475" s="75"/>
      <c r="K475" s="75"/>
      <c r="L475" s="75"/>
      <c r="M475" s="75"/>
      <c r="N475" s="75"/>
      <c r="O475" s="75"/>
      <c r="P475" s="75"/>
      <c r="Q475" s="75"/>
      <c r="R475" s="75"/>
    </row>
    <row r="476" spans="1:18" x14ac:dyDescent="0.15">
      <c r="E476" s="52" t="s">
        <v>204</v>
      </c>
      <c r="F476" s="94">
        <f>SUM(H476:L476)</f>
        <v>11654000</v>
      </c>
      <c r="G476" s="69"/>
      <c r="H476" s="94">
        <f>+H451+H465+H472+H474</f>
        <v>1986000</v>
      </c>
      <c r="I476" s="75"/>
      <c r="J476" s="94">
        <f>+J451+J465+J472+J474</f>
        <v>2423000</v>
      </c>
      <c r="K476" s="75"/>
      <c r="L476" s="94">
        <f>+L451+L465+L472+L474</f>
        <v>7245000</v>
      </c>
      <c r="M476" s="75"/>
      <c r="N476" s="94">
        <f>+N451+N465+N472+N474</f>
        <v>4973000</v>
      </c>
      <c r="O476" s="75"/>
      <c r="P476" s="94">
        <f>+P451+P465+P472+P474</f>
        <v>6852000</v>
      </c>
      <c r="Q476" s="75"/>
      <c r="R476" s="94">
        <f>+R451+R465+R472+R474</f>
        <v>171000</v>
      </c>
    </row>
    <row r="477" spans="1:18" x14ac:dyDescent="0.15">
      <c r="G477" s="69"/>
      <c r="H477" s="75"/>
      <c r="I477" s="75"/>
      <c r="J477" s="75"/>
      <c r="K477" s="75"/>
      <c r="L477" s="75"/>
      <c r="M477" s="75"/>
      <c r="N477" s="75"/>
      <c r="O477" s="75"/>
      <c r="P477" s="75"/>
      <c r="Q477" s="75"/>
      <c r="R477" s="75"/>
    </row>
    <row r="478" spans="1:18" x14ac:dyDescent="0.15">
      <c r="A478" s="79" t="s">
        <v>205</v>
      </c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</row>
    <row r="479" spans="1:18" x14ac:dyDescent="0.15">
      <c r="A479" s="88"/>
      <c r="B479" s="88"/>
      <c r="C479" s="88"/>
      <c r="D479" s="88"/>
      <c r="E479" s="88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</row>
    <row r="480" spans="1:18" x14ac:dyDescent="0.15">
      <c r="B480" s="53" t="s">
        <v>13</v>
      </c>
      <c r="F480" s="94">
        <f>SUM(H480:L480)</f>
        <v>7793000</v>
      </c>
      <c r="G480" s="69"/>
      <c r="H480" s="95">
        <v>5929000</v>
      </c>
      <c r="I480" s="90"/>
      <c r="J480" s="95">
        <v>1364000</v>
      </c>
      <c r="K480" s="90"/>
      <c r="L480" s="95">
        <v>500000</v>
      </c>
      <c r="M480" s="90"/>
      <c r="N480" s="95">
        <v>4922000</v>
      </c>
      <c r="O480" s="90"/>
      <c r="P480" s="95">
        <v>2871000</v>
      </c>
      <c r="Q480" s="90"/>
      <c r="R480" s="95">
        <v>0</v>
      </c>
    </row>
    <row r="481" spans="1:18" x14ac:dyDescent="0.15">
      <c r="G481" s="69"/>
      <c r="H481" s="90"/>
      <c r="I481" s="90"/>
      <c r="J481" s="90"/>
      <c r="K481" s="90"/>
      <c r="L481" s="90"/>
      <c r="M481" s="90"/>
      <c r="N481" s="90"/>
      <c r="O481" s="90"/>
      <c r="P481" s="90"/>
      <c r="Q481" s="90"/>
      <c r="R481" s="90"/>
    </row>
    <row r="482" spans="1:18" x14ac:dyDescent="0.15">
      <c r="B482" s="53" t="s">
        <v>24</v>
      </c>
      <c r="F482" s="94">
        <f>SUM(H482:L482)</f>
        <v>43000</v>
      </c>
      <c r="G482" s="69"/>
      <c r="H482" s="95">
        <v>24000</v>
      </c>
      <c r="I482" s="90"/>
      <c r="J482" s="95">
        <v>0</v>
      </c>
      <c r="K482" s="90"/>
      <c r="L482" s="95">
        <v>19000</v>
      </c>
      <c r="M482" s="90"/>
      <c r="N482" s="95">
        <v>15000</v>
      </c>
      <c r="O482" s="90"/>
      <c r="P482" s="95">
        <v>28000</v>
      </c>
      <c r="Q482" s="90"/>
      <c r="R482" s="95">
        <v>0</v>
      </c>
    </row>
    <row r="483" spans="1:18" x14ac:dyDescent="0.15">
      <c r="A483" s="88"/>
      <c r="B483" s="88"/>
      <c r="C483" s="88"/>
      <c r="D483" s="88"/>
      <c r="E483" s="88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</row>
    <row r="484" spans="1:18" x14ac:dyDescent="0.15">
      <c r="A484" s="88"/>
      <c r="B484" s="53" t="s">
        <v>28</v>
      </c>
      <c r="C484" s="88"/>
      <c r="D484" s="88"/>
      <c r="F484" s="94">
        <f>SUM(H484:L484)</f>
        <v>287000</v>
      </c>
      <c r="G484" s="69"/>
      <c r="H484" s="95">
        <v>0</v>
      </c>
      <c r="I484" s="90"/>
      <c r="J484" s="95">
        <v>1000</v>
      </c>
      <c r="K484" s="90"/>
      <c r="L484" s="95">
        <v>286000</v>
      </c>
      <c r="M484" s="90"/>
      <c r="N484" s="95">
        <v>75000</v>
      </c>
      <c r="O484" s="90"/>
      <c r="P484" s="95">
        <v>212000</v>
      </c>
      <c r="Q484" s="90"/>
      <c r="R484" s="95">
        <v>0</v>
      </c>
    </row>
    <row r="485" spans="1:18" x14ac:dyDescent="0.15">
      <c r="A485" s="88"/>
      <c r="B485" s="88"/>
      <c r="C485" s="88"/>
      <c r="D485" s="88"/>
      <c r="E485" s="88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</row>
    <row r="486" spans="1:18" x14ac:dyDescent="0.15">
      <c r="E486" s="52" t="s">
        <v>206</v>
      </c>
      <c r="F486" s="94">
        <f>SUM(H486:L486)</f>
        <v>8123000</v>
      </c>
      <c r="G486" s="69"/>
      <c r="H486" s="94">
        <f>+H480+H482+H484</f>
        <v>5953000</v>
      </c>
      <c r="I486" s="75"/>
      <c r="J486" s="94">
        <f>+J480+J482+J484</f>
        <v>1365000</v>
      </c>
      <c r="K486" s="75"/>
      <c r="L486" s="94">
        <f>+L480+L482+L484</f>
        <v>805000</v>
      </c>
      <c r="M486" s="75"/>
      <c r="N486" s="94">
        <f>+N480+N482+N484</f>
        <v>5012000</v>
      </c>
      <c r="O486" s="75"/>
      <c r="P486" s="94">
        <f>+P480+P482+P484</f>
        <v>3111000</v>
      </c>
      <c r="Q486" s="75"/>
      <c r="R486" s="94">
        <f>+R480+R484</f>
        <v>0</v>
      </c>
    </row>
    <row r="487" spans="1:18" x14ac:dyDescent="0.15">
      <c r="A487" s="88"/>
      <c r="B487" s="88"/>
      <c r="C487" s="88"/>
      <c r="D487" s="88"/>
      <c r="E487" s="88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</row>
    <row r="488" spans="1:18" x14ac:dyDescent="0.15">
      <c r="A488" s="79" t="s">
        <v>207</v>
      </c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</row>
    <row r="489" spans="1:18" x14ac:dyDescent="0.15">
      <c r="A489" s="88"/>
      <c r="B489" s="88"/>
      <c r="C489" s="88"/>
      <c r="D489" s="88"/>
      <c r="E489" s="88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</row>
    <row r="490" spans="1:18" x14ac:dyDescent="0.15">
      <c r="B490" s="53" t="s">
        <v>13</v>
      </c>
      <c r="F490" s="94">
        <f>SUM(H490:L490)</f>
        <v>16201000</v>
      </c>
      <c r="G490" s="69"/>
      <c r="H490" s="95">
        <v>2988000</v>
      </c>
      <c r="I490" s="90"/>
      <c r="J490" s="95">
        <v>13194000</v>
      </c>
      <c r="K490" s="90"/>
      <c r="L490" s="95">
        <v>19000</v>
      </c>
      <c r="M490" s="90"/>
      <c r="N490" s="95">
        <v>11513000</v>
      </c>
      <c r="O490" s="90"/>
      <c r="P490" s="95">
        <v>4688000</v>
      </c>
      <c r="Q490" s="90"/>
      <c r="R490" s="95">
        <v>0</v>
      </c>
    </row>
    <row r="491" spans="1:18" x14ac:dyDescent="0.15">
      <c r="A491" s="88"/>
      <c r="B491" s="88"/>
      <c r="C491" s="88"/>
      <c r="D491" s="88"/>
      <c r="E491" s="88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</row>
    <row r="492" spans="1:18" x14ac:dyDescent="0.15">
      <c r="A492" s="79" t="s">
        <v>208</v>
      </c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</row>
    <row r="493" spans="1:18" x14ac:dyDescent="0.15">
      <c r="A493" s="88"/>
      <c r="B493" s="88"/>
      <c r="C493" s="88"/>
      <c r="D493" s="88"/>
      <c r="E493" s="88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</row>
    <row r="494" spans="1:18" x14ac:dyDescent="0.15">
      <c r="B494" s="53" t="s">
        <v>13</v>
      </c>
      <c r="F494" s="94">
        <f>SUM(H494:L494)</f>
        <v>32630000</v>
      </c>
      <c r="G494" s="69"/>
      <c r="H494" s="95">
        <v>-452000</v>
      </c>
      <c r="I494" s="90"/>
      <c r="J494" s="95">
        <v>33017000</v>
      </c>
      <c r="K494" s="90"/>
      <c r="L494" s="95">
        <v>65000</v>
      </c>
      <c r="M494" s="90"/>
      <c r="N494" s="95">
        <v>15043000</v>
      </c>
      <c r="O494" s="90"/>
      <c r="P494" s="95">
        <v>17587000</v>
      </c>
      <c r="Q494" s="90"/>
      <c r="R494" s="95">
        <v>0</v>
      </c>
    </row>
    <row r="495" spans="1:18" x14ac:dyDescent="0.15">
      <c r="A495" s="88"/>
      <c r="B495" s="88"/>
      <c r="C495" s="88"/>
      <c r="D495" s="88"/>
      <c r="E495" s="88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</row>
    <row r="496" spans="1:18" x14ac:dyDescent="0.15">
      <c r="A496" s="79" t="s">
        <v>209</v>
      </c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</row>
    <row r="497" spans="1:18" x14ac:dyDescent="0.15">
      <c r="A497" s="88"/>
      <c r="B497" s="88"/>
      <c r="C497" s="88"/>
      <c r="D497" s="88"/>
      <c r="E497" s="88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</row>
    <row r="498" spans="1:18" x14ac:dyDescent="0.15">
      <c r="B498" s="53" t="s">
        <v>13</v>
      </c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</row>
    <row r="499" spans="1:18" x14ac:dyDescent="0.15">
      <c r="C499" s="52" t="s">
        <v>211</v>
      </c>
      <c r="D499" s="52"/>
      <c r="E499" s="91"/>
      <c r="F499" s="75">
        <f>SUM(H499:L499)</f>
        <v>17000</v>
      </c>
      <c r="G499" s="92"/>
      <c r="H499" s="90">
        <v>0</v>
      </c>
      <c r="I499" s="93"/>
      <c r="J499" s="90">
        <v>0</v>
      </c>
      <c r="K499" s="93"/>
      <c r="L499" s="90">
        <v>17000</v>
      </c>
      <c r="M499" s="93"/>
      <c r="N499" s="90">
        <v>5000</v>
      </c>
      <c r="O499" s="93"/>
      <c r="P499" s="90">
        <v>12000</v>
      </c>
      <c r="Q499" s="93"/>
      <c r="R499" s="90">
        <v>0</v>
      </c>
    </row>
    <row r="500" spans="1:18" x14ac:dyDescent="0.15">
      <c r="C500" s="52" t="s">
        <v>212</v>
      </c>
      <c r="D500" s="52"/>
      <c r="E500" s="91"/>
      <c r="F500" s="75">
        <f>SUM(H500:L500)</f>
        <v>210000</v>
      </c>
      <c r="G500" s="92"/>
      <c r="H500" s="90">
        <v>105000</v>
      </c>
      <c r="I500" s="93"/>
      <c r="J500" s="90">
        <v>1000</v>
      </c>
      <c r="K500" s="93"/>
      <c r="L500" s="90">
        <v>104000</v>
      </c>
      <c r="M500" s="93"/>
      <c r="N500" s="90">
        <v>139000</v>
      </c>
      <c r="O500" s="93"/>
      <c r="P500" s="90">
        <v>71000</v>
      </c>
      <c r="Q500" s="93"/>
      <c r="R500" s="90">
        <v>0</v>
      </c>
    </row>
    <row r="501" spans="1:18" x14ac:dyDescent="0.15">
      <c r="A501" s="86"/>
      <c r="C501" s="52" t="s">
        <v>213</v>
      </c>
      <c r="D501" s="52"/>
      <c r="E501" s="91"/>
      <c r="F501" s="86"/>
    </row>
    <row r="502" spans="1:18" x14ac:dyDescent="0.15">
      <c r="A502" s="86"/>
      <c r="C502" s="52"/>
      <c r="D502" s="52"/>
      <c r="E502" s="91" t="s">
        <v>214</v>
      </c>
      <c r="F502" s="75">
        <f t="shared" ref="F502:F507" si="18">SUM(H502:L502)</f>
        <v>690000</v>
      </c>
      <c r="G502" s="92"/>
      <c r="H502" s="90">
        <v>0</v>
      </c>
      <c r="I502" s="93"/>
      <c r="J502" s="90">
        <v>307000</v>
      </c>
      <c r="K502" s="93"/>
      <c r="L502" s="90">
        <v>383000</v>
      </c>
      <c r="M502" s="93"/>
      <c r="N502" s="90">
        <v>228000</v>
      </c>
      <c r="O502" s="93"/>
      <c r="P502" s="90">
        <v>462000</v>
      </c>
      <c r="Q502" s="93"/>
      <c r="R502" s="90">
        <v>0</v>
      </c>
    </row>
    <row r="503" spans="1:18" x14ac:dyDescent="0.15">
      <c r="A503" s="86"/>
      <c r="C503" s="52" t="s">
        <v>216</v>
      </c>
      <c r="D503" s="52"/>
      <c r="E503" s="91"/>
      <c r="F503" s="75">
        <f t="shared" si="18"/>
        <v>340000</v>
      </c>
      <c r="G503" s="92"/>
      <c r="H503" s="90">
        <v>116000</v>
      </c>
      <c r="I503" s="93"/>
      <c r="J503" s="90">
        <v>149000</v>
      </c>
      <c r="K503" s="93"/>
      <c r="L503" s="90">
        <v>75000</v>
      </c>
      <c r="M503" s="93"/>
      <c r="N503" s="90">
        <v>182000</v>
      </c>
      <c r="O503" s="93"/>
      <c r="P503" s="90">
        <v>158000</v>
      </c>
      <c r="Q503" s="93"/>
      <c r="R503" s="90">
        <v>0</v>
      </c>
    </row>
    <row r="504" spans="1:18" x14ac:dyDescent="0.15">
      <c r="A504" s="86"/>
      <c r="C504" s="52" t="s">
        <v>217</v>
      </c>
      <c r="D504" s="52"/>
      <c r="E504" s="91"/>
      <c r="F504" s="75">
        <f t="shared" si="18"/>
        <v>40000</v>
      </c>
      <c r="G504" s="92"/>
      <c r="H504" s="90">
        <v>39000</v>
      </c>
      <c r="I504" s="93"/>
      <c r="J504" s="90">
        <v>0</v>
      </c>
      <c r="K504" s="93"/>
      <c r="L504" s="90">
        <v>1000</v>
      </c>
      <c r="M504" s="93"/>
      <c r="N504" s="90">
        <v>30000</v>
      </c>
      <c r="O504" s="93"/>
      <c r="P504" s="90">
        <v>10000</v>
      </c>
      <c r="Q504" s="93"/>
      <c r="R504" s="90">
        <v>0</v>
      </c>
    </row>
    <row r="505" spans="1:18" x14ac:dyDescent="0.15">
      <c r="A505" s="86"/>
      <c r="C505" s="52" t="s">
        <v>218</v>
      </c>
      <c r="D505" s="52"/>
      <c r="E505" s="91"/>
      <c r="F505" s="75">
        <f t="shared" si="18"/>
        <v>1363000</v>
      </c>
      <c r="G505" s="92"/>
      <c r="H505" s="90">
        <v>1173000</v>
      </c>
      <c r="I505" s="93"/>
      <c r="J505" s="90">
        <v>76000</v>
      </c>
      <c r="K505" s="93"/>
      <c r="L505" s="90">
        <v>114000</v>
      </c>
      <c r="M505" s="93"/>
      <c r="N505" s="90">
        <v>881000</v>
      </c>
      <c r="O505" s="93"/>
      <c r="P505" s="90">
        <v>482000</v>
      </c>
      <c r="Q505" s="93"/>
      <c r="R505" s="90">
        <v>0</v>
      </c>
    </row>
    <row r="506" spans="1:18" x14ac:dyDescent="0.15">
      <c r="A506" s="86"/>
      <c r="C506" s="52" t="s">
        <v>219</v>
      </c>
      <c r="D506" s="52"/>
      <c r="E506" s="91"/>
      <c r="F506" s="75">
        <f t="shared" si="18"/>
        <v>4000</v>
      </c>
      <c r="G506" s="92"/>
      <c r="H506" s="90">
        <v>0</v>
      </c>
      <c r="I506" s="93"/>
      <c r="J506" s="90">
        <v>3000</v>
      </c>
      <c r="K506" s="93"/>
      <c r="L506" s="90">
        <v>1000</v>
      </c>
      <c r="M506" s="93"/>
      <c r="N506" s="90">
        <v>3000</v>
      </c>
      <c r="O506" s="93"/>
      <c r="P506" s="90">
        <v>1000</v>
      </c>
      <c r="Q506" s="93"/>
      <c r="R506" s="90">
        <v>0</v>
      </c>
    </row>
    <row r="507" spans="1:18" x14ac:dyDescent="0.15">
      <c r="A507" s="86"/>
      <c r="B507" s="86"/>
      <c r="C507" s="52" t="s">
        <v>220</v>
      </c>
      <c r="D507" s="52"/>
      <c r="E507" s="53"/>
      <c r="F507" s="75">
        <f t="shared" si="18"/>
        <v>5272000</v>
      </c>
      <c r="G507" s="92"/>
      <c r="H507" s="90">
        <v>1311000</v>
      </c>
      <c r="I507" s="93"/>
      <c r="J507" s="90">
        <v>3559000</v>
      </c>
      <c r="K507" s="93"/>
      <c r="L507" s="90">
        <v>402000</v>
      </c>
      <c r="M507" s="93"/>
      <c r="N507" s="90">
        <v>1415000</v>
      </c>
      <c r="O507" s="93"/>
      <c r="P507" s="90">
        <v>3857000</v>
      </c>
      <c r="Q507" s="93"/>
      <c r="R507" s="90">
        <v>0</v>
      </c>
    </row>
    <row r="508" spans="1:18" x14ac:dyDescent="0.15">
      <c r="A508" s="86"/>
      <c r="C508" s="52" t="s">
        <v>515</v>
      </c>
      <c r="D508" s="52"/>
      <c r="E508" s="91"/>
      <c r="F508" s="75">
        <f>SUM(H508:L508)</f>
        <v>317000</v>
      </c>
      <c r="G508" s="92"/>
      <c r="H508" s="90">
        <v>0</v>
      </c>
      <c r="I508" s="93"/>
      <c r="J508" s="90">
        <v>8000</v>
      </c>
      <c r="K508" s="93"/>
      <c r="L508" s="90">
        <v>309000</v>
      </c>
      <c r="M508" s="93"/>
      <c r="N508" s="90">
        <v>234000</v>
      </c>
      <c r="O508" s="93"/>
      <c r="P508" s="90">
        <v>83000</v>
      </c>
      <c r="Q508" s="93"/>
      <c r="R508" s="90">
        <v>0</v>
      </c>
    </row>
    <row r="509" spans="1:18" x14ac:dyDescent="0.15">
      <c r="A509" s="86"/>
      <c r="C509" s="52" t="s">
        <v>233</v>
      </c>
      <c r="D509" s="52"/>
      <c r="E509" s="91"/>
      <c r="F509" s="75">
        <f t="shared" ref="F509:F513" si="19">SUM(H509:L509)</f>
        <v>6000</v>
      </c>
      <c r="G509" s="92"/>
      <c r="H509" s="90">
        <v>0</v>
      </c>
      <c r="I509" s="93"/>
      <c r="J509" s="90">
        <v>3000</v>
      </c>
      <c r="K509" s="93"/>
      <c r="L509" s="90">
        <v>3000</v>
      </c>
      <c r="M509" s="93"/>
      <c r="N509" s="90">
        <v>6000</v>
      </c>
      <c r="O509" s="93"/>
      <c r="P509" s="90">
        <v>0</v>
      </c>
      <c r="Q509" s="93"/>
      <c r="R509" s="90">
        <v>0</v>
      </c>
    </row>
    <row r="510" spans="1:18" x14ac:dyDescent="0.15">
      <c r="A510" s="86"/>
      <c r="C510" s="52" t="s">
        <v>234</v>
      </c>
      <c r="D510" s="52"/>
      <c r="E510" s="91"/>
      <c r="F510" s="75">
        <f t="shared" si="19"/>
        <v>101912000</v>
      </c>
      <c r="G510" s="92"/>
      <c r="H510" s="90">
        <v>266894000</v>
      </c>
      <c r="I510" s="93"/>
      <c r="J510" s="90">
        <v>-169928000</v>
      </c>
      <c r="K510" s="93"/>
      <c r="L510" s="90">
        <v>4946000</v>
      </c>
      <c r="M510" s="93"/>
      <c r="N510" s="90">
        <v>1313000</v>
      </c>
      <c r="O510" s="93"/>
      <c r="P510" s="90">
        <v>100599000</v>
      </c>
      <c r="Q510" s="93"/>
      <c r="R510" s="90">
        <v>0</v>
      </c>
    </row>
    <row r="511" spans="1:18" x14ac:dyDescent="0.15">
      <c r="A511" s="86"/>
      <c r="C511" s="52" t="s">
        <v>237</v>
      </c>
      <c r="D511" s="52"/>
      <c r="E511" s="91"/>
      <c r="F511" s="75">
        <f t="shared" si="19"/>
        <v>60000</v>
      </c>
      <c r="G511" s="92"/>
      <c r="H511" s="90">
        <v>0</v>
      </c>
      <c r="I511" s="93"/>
      <c r="J511" s="90">
        <v>0</v>
      </c>
      <c r="K511" s="93"/>
      <c r="L511" s="90">
        <v>60000</v>
      </c>
      <c r="M511" s="93"/>
      <c r="N511" s="90">
        <v>61000</v>
      </c>
      <c r="O511" s="93"/>
      <c r="P511" s="90">
        <v>-1000</v>
      </c>
      <c r="Q511" s="93"/>
      <c r="R511" s="90">
        <v>0</v>
      </c>
    </row>
    <row r="512" spans="1:18" x14ac:dyDescent="0.15">
      <c r="A512" s="86"/>
      <c r="C512" s="52" t="s">
        <v>240</v>
      </c>
      <c r="D512" s="52"/>
      <c r="E512" s="91"/>
      <c r="F512" s="75">
        <f t="shared" si="19"/>
        <v>4000</v>
      </c>
      <c r="G512" s="92"/>
      <c r="H512" s="90">
        <v>0</v>
      </c>
      <c r="I512" s="93"/>
      <c r="J512" s="90">
        <v>0</v>
      </c>
      <c r="K512" s="93"/>
      <c r="L512" s="90">
        <v>4000</v>
      </c>
      <c r="M512" s="93"/>
      <c r="N512" s="90">
        <v>0</v>
      </c>
      <c r="O512" s="93"/>
      <c r="P512" s="90">
        <v>4000</v>
      </c>
      <c r="Q512" s="93"/>
      <c r="R512" s="90">
        <v>0</v>
      </c>
    </row>
    <row r="513" spans="1:18" x14ac:dyDescent="0.15">
      <c r="A513" s="86"/>
      <c r="C513" s="52" t="s">
        <v>241</v>
      </c>
      <c r="D513" s="52"/>
      <c r="E513" s="91"/>
      <c r="F513" s="75">
        <f t="shared" si="19"/>
        <v>44000</v>
      </c>
      <c r="G513" s="92"/>
      <c r="H513" s="90">
        <v>0</v>
      </c>
      <c r="I513" s="93"/>
      <c r="J513" s="90">
        <v>0</v>
      </c>
      <c r="K513" s="93"/>
      <c r="L513" s="90">
        <v>44000</v>
      </c>
      <c r="M513" s="93"/>
      <c r="N513" s="90">
        <v>44000</v>
      </c>
      <c r="O513" s="93"/>
      <c r="P513" s="90">
        <v>0</v>
      </c>
      <c r="Q513" s="93"/>
      <c r="R513" s="90">
        <v>0</v>
      </c>
    </row>
    <row r="514" spans="1:18" x14ac:dyDescent="0.15">
      <c r="A514" s="86"/>
      <c r="B514" s="86"/>
      <c r="C514" s="52" t="s">
        <v>242</v>
      </c>
      <c r="D514" s="52"/>
      <c r="E514" s="53"/>
      <c r="G514" s="69"/>
      <c r="H514" s="90"/>
      <c r="I514" s="90"/>
      <c r="J514" s="90"/>
      <c r="K514" s="90"/>
      <c r="L514" s="90"/>
      <c r="M514" s="90"/>
      <c r="N514" s="90"/>
      <c r="O514" s="90"/>
      <c r="P514" s="90"/>
      <c r="Q514" s="90"/>
      <c r="R514" s="90"/>
    </row>
    <row r="515" spans="1:18" x14ac:dyDescent="0.15">
      <c r="A515" s="86"/>
      <c r="B515" s="86"/>
      <c r="C515" s="52"/>
      <c r="D515" s="52"/>
      <c r="E515" s="53" t="s">
        <v>243</v>
      </c>
      <c r="F515" s="75">
        <f>SUM(H515:L515)</f>
        <v>206000</v>
      </c>
      <c r="G515" s="92"/>
      <c r="H515" s="90">
        <v>65000</v>
      </c>
      <c r="I515" s="93"/>
      <c r="J515" s="90">
        <v>99000</v>
      </c>
      <c r="K515" s="93"/>
      <c r="L515" s="90">
        <v>42000</v>
      </c>
      <c r="M515" s="93"/>
      <c r="N515" s="90">
        <v>92000</v>
      </c>
      <c r="O515" s="93"/>
      <c r="P515" s="90">
        <v>114000</v>
      </c>
      <c r="Q515" s="93"/>
      <c r="R515" s="90">
        <v>0</v>
      </c>
    </row>
    <row r="516" spans="1:18" x14ac:dyDescent="0.15">
      <c r="A516" s="86"/>
      <c r="C516" s="52" t="s">
        <v>244</v>
      </c>
      <c r="D516" s="52"/>
      <c r="E516" s="91"/>
      <c r="F516" s="75">
        <f>SUM(H516:L516)</f>
        <v>1020000</v>
      </c>
      <c r="G516" s="92"/>
      <c r="H516" s="90">
        <v>463000</v>
      </c>
      <c r="I516" s="93"/>
      <c r="J516" s="90">
        <v>288000</v>
      </c>
      <c r="K516" s="93"/>
      <c r="L516" s="90">
        <v>269000</v>
      </c>
      <c r="M516" s="93"/>
      <c r="N516" s="90">
        <v>1041000</v>
      </c>
      <c r="O516" s="93"/>
      <c r="P516" s="90">
        <v>-21000</v>
      </c>
      <c r="Q516" s="93"/>
      <c r="R516" s="90">
        <v>0</v>
      </c>
    </row>
    <row r="517" spans="1:18" x14ac:dyDescent="0.15">
      <c r="A517" s="86"/>
      <c r="C517" s="52" t="s">
        <v>245</v>
      </c>
      <c r="D517" s="52"/>
      <c r="E517" s="91"/>
      <c r="F517" s="94">
        <f>SUM(H517:L517)</f>
        <v>0</v>
      </c>
      <c r="G517" s="69"/>
      <c r="H517" s="95">
        <v>-349547000</v>
      </c>
      <c r="I517" s="90"/>
      <c r="J517" s="95">
        <v>349547000</v>
      </c>
      <c r="K517" s="90"/>
      <c r="L517" s="95">
        <v>0</v>
      </c>
      <c r="M517" s="90"/>
      <c r="N517" s="95">
        <v>0</v>
      </c>
      <c r="O517" s="90"/>
      <c r="P517" s="95">
        <v>0</v>
      </c>
      <c r="Q517" s="90"/>
      <c r="R517" s="95">
        <v>0</v>
      </c>
    </row>
    <row r="518" spans="1:18" x14ac:dyDescent="0.15">
      <c r="A518" s="86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</row>
    <row r="519" spans="1:18" x14ac:dyDescent="0.15">
      <c r="A519" s="86"/>
      <c r="E519" s="52" t="s">
        <v>3</v>
      </c>
      <c r="F519" s="94">
        <f>SUM(H519:L519)</f>
        <v>111505000</v>
      </c>
      <c r="G519" s="69"/>
      <c r="H519" s="94">
        <f>SUM(H499:H518)</f>
        <v>-79381000</v>
      </c>
      <c r="I519" s="75"/>
      <c r="J519" s="94">
        <f>SUM(J499:J518)</f>
        <v>184112000</v>
      </c>
      <c r="K519" s="75"/>
      <c r="L519" s="94">
        <f>SUM(L499:L518)</f>
        <v>6774000</v>
      </c>
      <c r="M519" s="75"/>
      <c r="N519" s="94">
        <f>SUM(N499:N518)</f>
        <v>5674000</v>
      </c>
      <c r="O519" s="75"/>
      <c r="P519" s="94">
        <f>SUM(P499:P518)</f>
        <v>105831000</v>
      </c>
      <c r="Q519" s="75"/>
      <c r="R519" s="94">
        <f>SUM(R499:R518)</f>
        <v>0</v>
      </c>
    </row>
    <row r="520" spans="1:18" x14ac:dyDescent="0.15">
      <c r="A520" s="88"/>
      <c r="B520" s="88"/>
      <c r="C520" s="88"/>
      <c r="D520" s="88"/>
      <c r="E520" s="88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</row>
    <row r="521" spans="1:18" x14ac:dyDescent="0.15">
      <c r="B521" s="53" t="s">
        <v>24</v>
      </c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</row>
    <row r="522" spans="1:18" x14ac:dyDescent="0.15">
      <c r="C522" s="52" t="s">
        <v>246</v>
      </c>
      <c r="D522" s="52"/>
      <c r="E522" s="91"/>
      <c r="F522" s="75">
        <f>SUM(H522:L522)</f>
        <v>82000</v>
      </c>
      <c r="G522" s="92"/>
      <c r="H522" s="90">
        <v>1000</v>
      </c>
      <c r="I522" s="93"/>
      <c r="J522" s="90">
        <v>41000</v>
      </c>
      <c r="K522" s="93"/>
      <c r="L522" s="90">
        <v>40000</v>
      </c>
      <c r="M522" s="93"/>
      <c r="N522" s="90">
        <v>29000</v>
      </c>
      <c r="O522" s="93"/>
      <c r="P522" s="90">
        <v>53000</v>
      </c>
      <c r="Q522" s="93"/>
      <c r="R522" s="90">
        <v>0</v>
      </c>
    </row>
    <row r="523" spans="1:18" x14ac:dyDescent="0.15">
      <c r="C523" s="52" t="s">
        <v>210</v>
      </c>
      <c r="D523" s="52"/>
      <c r="E523" s="91"/>
      <c r="F523" s="75">
        <f>SUM(H523:L523)</f>
        <v>428000</v>
      </c>
      <c r="G523" s="92"/>
      <c r="H523" s="90">
        <v>187000</v>
      </c>
      <c r="I523" s="93"/>
      <c r="J523" s="90">
        <v>11000</v>
      </c>
      <c r="K523" s="93"/>
      <c r="L523" s="90">
        <v>230000</v>
      </c>
      <c r="M523" s="93"/>
      <c r="N523" s="90">
        <v>244000</v>
      </c>
      <c r="O523" s="93"/>
      <c r="P523" s="90">
        <v>184000</v>
      </c>
      <c r="Q523" s="93"/>
      <c r="R523" s="90">
        <v>0</v>
      </c>
    </row>
    <row r="524" spans="1:18" x14ac:dyDescent="0.15">
      <c r="C524" s="52" t="s">
        <v>247</v>
      </c>
      <c r="D524" s="52"/>
      <c r="E524" s="91"/>
      <c r="F524" s="75">
        <f>SUM(H524:L524)</f>
        <v>230000</v>
      </c>
      <c r="G524" s="92"/>
      <c r="H524" s="90">
        <v>132000</v>
      </c>
      <c r="I524" s="93"/>
      <c r="J524" s="90">
        <v>25000</v>
      </c>
      <c r="K524" s="93"/>
      <c r="L524" s="90">
        <v>73000</v>
      </c>
      <c r="M524" s="93"/>
      <c r="N524" s="90">
        <v>112000</v>
      </c>
      <c r="O524" s="93"/>
      <c r="P524" s="90">
        <v>118000</v>
      </c>
      <c r="Q524" s="93"/>
      <c r="R524" s="90">
        <v>0</v>
      </c>
    </row>
    <row r="525" spans="1:18" x14ac:dyDescent="0.15">
      <c r="C525" s="52" t="s">
        <v>248</v>
      </c>
      <c r="D525" s="52"/>
      <c r="E525" s="91"/>
      <c r="G525" s="69"/>
      <c r="H525" s="90"/>
      <c r="I525" s="90"/>
      <c r="J525" s="90"/>
      <c r="K525" s="90"/>
      <c r="L525" s="90"/>
      <c r="M525" s="90"/>
      <c r="N525" s="90"/>
      <c r="O525" s="90"/>
      <c r="P525" s="90"/>
      <c r="Q525" s="90"/>
      <c r="R525" s="90"/>
    </row>
    <row r="526" spans="1:18" x14ac:dyDescent="0.15">
      <c r="C526" s="86"/>
      <c r="D526" s="52"/>
      <c r="E526" s="52" t="s">
        <v>249</v>
      </c>
      <c r="F526" s="75">
        <f>SUM(H526:L526)</f>
        <v>49000</v>
      </c>
      <c r="G526" s="92"/>
      <c r="H526" s="90">
        <v>49000</v>
      </c>
      <c r="I526" s="93"/>
      <c r="J526" s="90">
        <v>0</v>
      </c>
      <c r="K526" s="93"/>
      <c r="L526" s="90">
        <v>0</v>
      </c>
      <c r="M526" s="93"/>
      <c r="N526" s="90">
        <v>35000</v>
      </c>
      <c r="O526" s="93"/>
      <c r="P526" s="90">
        <v>14000</v>
      </c>
      <c r="Q526" s="93"/>
      <c r="R526" s="90">
        <v>0</v>
      </c>
    </row>
    <row r="527" spans="1:18" x14ac:dyDescent="0.15">
      <c r="C527" s="52" t="s">
        <v>211</v>
      </c>
      <c r="D527" s="52"/>
      <c r="E527" s="91"/>
      <c r="F527" s="75">
        <f>SUM(H527:L527)</f>
        <v>3619000</v>
      </c>
      <c r="G527" s="92"/>
      <c r="H527" s="90">
        <v>618000</v>
      </c>
      <c r="I527" s="93"/>
      <c r="J527" s="90">
        <v>102000</v>
      </c>
      <c r="K527" s="93"/>
      <c r="L527" s="90">
        <v>2899000</v>
      </c>
      <c r="M527" s="93"/>
      <c r="N527" s="90">
        <v>2072000</v>
      </c>
      <c r="O527" s="93"/>
      <c r="P527" s="90">
        <v>1643000</v>
      </c>
      <c r="Q527" s="93"/>
      <c r="R527" s="90">
        <v>96000</v>
      </c>
    </row>
    <row r="528" spans="1:18" x14ac:dyDescent="0.15">
      <c r="C528" s="52" t="s">
        <v>250</v>
      </c>
      <c r="D528" s="52"/>
      <c r="E528" s="91"/>
      <c r="F528" s="75">
        <f>SUM(H528:L528)</f>
        <v>609000</v>
      </c>
      <c r="G528" s="92"/>
      <c r="H528" s="90">
        <v>0</v>
      </c>
      <c r="I528" s="93"/>
      <c r="J528" s="90">
        <v>324000</v>
      </c>
      <c r="K528" s="93"/>
      <c r="L528" s="90">
        <v>285000</v>
      </c>
      <c r="M528" s="93"/>
      <c r="N528" s="90">
        <v>306000</v>
      </c>
      <c r="O528" s="93"/>
      <c r="P528" s="90">
        <v>303000</v>
      </c>
      <c r="Q528" s="93"/>
      <c r="R528" s="90">
        <v>0</v>
      </c>
    </row>
    <row r="529" spans="1:18" x14ac:dyDescent="0.15">
      <c r="C529" s="52" t="s">
        <v>251</v>
      </c>
      <c r="D529" s="52"/>
      <c r="E529" s="91"/>
      <c r="F529" s="75">
        <f>SUM(H529:L529)</f>
        <v>223000</v>
      </c>
      <c r="G529" s="92"/>
      <c r="H529" s="90">
        <v>178000</v>
      </c>
      <c r="I529" s="93"/>
      <c r="J529" s="90">
        <v>2000</v>
      </c>
      <c r="K529" s="93"/>
      <c r="L529" s="90">
        <v>43000</v>
      </c>
      <c r="M529" s="93"/>
      <c r="N529" s="90">
        <v>156000</v>
      </c>
      <c r="O529" s="93"/>
      <c r="P529" s="90">
        <v>67000</v>
      </c>
      <c r="Q529" s="93"/>
      <c r="R529" s="90">
        <v>0</v>
      </c>
    </row>
    <row r="530" spans="1:18" x14ac:dyDescent="0.15">
      <c r="C530" s="52" t="s">
        <v>252</v>
      </c>
      <c r="D530" s="52"/>
      <c r="E530" s="91"/>
      <c r="F530" s="75">
        <f>SUM(H530:L530)</f>
        <v>503000</v>
      </c>
      <c r="G530" s="92"/>
      <c r="H530" s="90">
        <v>235000</v>
      </c>
      <c r="I530" s="93"/>
      <c r="J530" s="90">
        <v>119000</v>
      </c>
      <c r="K530" s="93"/>
      <c r="L530" s="90">
        <v>149000</v>
      </c>
      <c r="M530" s="93"/>
      <c r="N530" s="90">
        <v>247000</v>
      </c>
      <c r="O530" s="93"/>
      <c r="P530" s="90">
        <v>285000</v>
      </c>
      <c r="Q530" s="93"/>
      <c r="R530" s="90">
        <v>29000</v>
      </c>
    </row>
    <row r="531" spans="1:18" x14ac:dyDescent="0.15">
      <c r="C531" s="52" t="s">
        <v>253</v>
      </c>
      <c r="D531" s="52"/>
      <c r="E531" s="91"/>
      <c r="F531" s="86"/>
    </row>
    <row r="532" spans="1:18" x14ac:dyDescent="0.15">
      <c r="C532" s="52"/>
      <c r="D532" s="52"/>
      <c r="E532" s="91" t="s">
        <v>254</v>
      </c>
      <c r="F532" s="75">
        <f>SUM(H532:L532)</f>
        <v>4484000</v>
      </c>
      <c r="G532" s="92"/>
      <c r="H532" s="90">
        <v>54000</v>
      </c>
      <c r="I532" s="93"/>
      <c r="J532" s="90">
        <v>1098000</v>
      </c>
      <c r="K532" s="93"/>
      <c r="L532" s="90">
        <v>3332000</v>
      </c>
      <c r="M532" s="93"/>
      <c r="N532" s="90">
        <v>1346000</v>
      </c>
      <c r="O532" s="93"/>
      <c r="P532" s="90">
        <v>3138000</v>
      </c>
      <c r="Q532" s="93"/>
      <c r="R532" s="90">
        <v>0</v>
      </c>
    </row>
    <row r="533" spans="1:18" x14ac:dyDescent="0.15">
      <c r="C533" s="52" t="s">
        <v>213</v>
      </c>
      <c r="D533" s="52"/>
      <c r="E533" s="91"/>
      <c r="F533" s="86"/>
    </row>
    <row r="534" spans="1:18" x14ac:dyDescent="0.15">
      <c r="C534" s="52"/>
      <c r="D534" s="52"/>
      <c r="E534" s="91" t="s">
        <v>214</v>
      </c>
      <c r="F534" s="75">
        <f>SUM(H534:L534)</f>
        <v>29189000</v>
      </c>
      <c r="G534" s="92"/>
      <c r="H534" s="90">
        <v>1547000</v>
      </c>
      <c r="I534" s="93"/>
      <c r="J534" s="90">
        <v>4160000</v>
      </c>
      <c r="K534" s="93"/>
      <c r="L534" s="90">
        <v>23482000</v>
      </c>
      <c r="M534" s="93"/>
      <c r="N534" s="90">
        <v>13328000</v>
      </c>
      <c r="O534" s="93"/>
      <c r="P534" s="90">
        <v>15868000</v>
      </c>
      <c r="Q534" s="93"/>
      <c r="R534" s="90">
        <v>7000</v>
      </c>
    </row>
    <row r="535" spans="1:18" x14ac:dyDescent="0.15">
      <c r="C535" s="52" t="s">
        <v>215</v>
      </c>
      <c r="D535" s="52"/>
      <c r="E535" s="91"/>
      <c r="F535" s="75">
        <f>SUM(H535:L535)</f>
        <v>959000</v>
      </c>
      <c r="G535" s="92"/>
      <c r="H535" s="90">
        <v>505000</v>
      </c>
      <c r="I535" s="93"/>
      <c r="J535" s="90">
        <v>7000</v>
      </c>
      <c r="K535" s="93"/>
      <c r="L535" s="90">
        <v>447000</v>
      </c>
      <c r="M535" s="93"/>
      <c r="N535" s="90">
        <v>754000</v>
      </c>
      <c r="O535" s="93"/>
      <c r="P535" s="90">
        <v>844000</v>
      </c>
      <c r="Q535" s="93"/>
      <c r="R535" s="90">
        <v>639000</v>
      </c>
    </row>
    <row r="536" spans="1:18" x14ac:dyDescent="0.15">
      <c r="A536" s="86"/>
      <c r="B536" s="86"/>
      <c r="C536" s="52" t="s">
        <v>255</v>
      </c>
      <c r="D536" s="52"/>
      <c r="E536" s="91"/>
      <c r="F536" s="75">
        <f>SUM(H536:L536)</f>
        <v>427000</v>
      </c>
      <c r="G536" s="92"/>
      <c r="H536" s="90">
        <v>0</v>
      </c>
      <c r="I536" s="93"/>
      <c r="J536" s="90">
        <v>70000</v>
      </c>
      <c r="K536" s="93"/>
      <c r="L536" s="90">
        <v>357000</v>
      </c>
      <c r="M536" s="93"/>
      <c r="N536" s="90">
        <v>199000</v>
      </c>
      <c r="O536" s="93"/>
      <c r="P536" s="90">
        <v>228000</v>
      </c>
      <c r="Q536" s="93"/>
      <c r="R536" s="90">
        <v>0</v>
      </c>
    </row>
    <row r="537" spans="1:18" x14ac:dyDescent="0.15">
      <c r="A537" s="86"/>
      <c r="B537" s="86"/>
      <c r="C537" s="52" t="s">
        <v>256</v>
      </c>
      <c r="D537" s="52"/>
      <c r="E537" s="91"/>
      <c r="G537" s="69"/>
      <c r="H537" s="90"/>
      <c r="I537" s="90"/>
      <c r="J537" s="90"/>
      <c r="K537" s="90"/>
      <c r="L537" s="90"/>
      <c r="M537" s="90"/>
      <c r="N537" s="90"/>
      <c r="O537" s="90"/>
      <c r="P537" s="90"/>
      <c r="Q537" s="90"/>
      <c r="R537" s="90"/>
    </row>
    <row r="538" spans="1:18" x14ac:dyDescent="0.15">
      <c r="A538" s="86"/>
      <c r="B538" s="86"/>
      <c r="C538" s="86"/>
      <c r="D538" s="52"/>
      <c r="E538" s="91" t="s">
        <v>51</v>
      </c>
      <c r="F538" s="75">
        <f>SUM(H538:L538)</f>
        <v>2138000</v>
      </c>
      <c r="G538" s="92"/>
      <c r="H538" s="90">
        <v>100000</v>
      </c>
      <c r="I538" s="93"/>
      <c r="J538" s="90">
        <v>284000</v>
      </c>
      <c r="K538" s="93"/>
      <c r="L538" s="90">
        <v>1754000</v>
      </c>
      <c r="M538" s="93"/>
      <c r="N538" s="90">
        <v>1253000</v>
      </c>
      <c r="O538" s="93"/>
      <c r="P538" s="90">
        <v>897000</v>
      </c>
      <c r="Q538" s="93"/>
      <c r="R538" s="90">
        <v>12000</v>
      </c>
    </row>
    <row r="539" spans="1:18" x14ac:dyDescent="0.15">
      <c r="A539" s="86"/>
      <c r="B539" s="86"/>
      <c r="C539" s="52" t="s">
        <v>257</v>
      </c>
      <c r="D539" s="52"/>
      <c r="E539" s="91"/>
      <c r="G539" s="69"/>
      <c r="H539" s="90"/>
      <c r="I539" s="90"/>
      <c r="J539" s="90"/>
      <c r="K539" s="90"/>
      <c r="L539" s="90"/>
      <c r="M539" s="90"/>
      <c r="N539" s="90"/>
      <c r="O539" s="90"/>
      <c r="P539" s="90"/>
      <c r="Q539" s="90"/>
      <c r="R539" s="90"/>
    </row>
    <row r="540" spans="1:18" x14ac:dyDescent="0.15">
      <c r="A540" s="86"/>
      <c r="B540" s="86"/>
      <c r="C540" s="86"/>
      <c r="D540" s="52"/>
      <c r="E540" s="91" t="s">
        <v>258</v>
      </c>
      <c r="F540" s="75">
        <f>SUM(H540:L540)</f>
        <v>3459000</v>
      </c>
      <c r="G540" s="92"/>
      <c r="H540" s="90">
        <v>2138000</v>
      </c>
      <c r="I540" s="93"/>
      <c r="J540" s="90">
        <v>1090000</v>
      </c>
      <c r="K540" s="93"/>
      <c r="L540" s="90">
        <v>231000</v>
      </c>
      <c r="M540" s="93"/>
      <c r="N540" s="90">
        <v>2138000</v>
      </c>
      <c r="O540" s="93"/>
      <c r="P540" s="90">
        <v>1321000</v>
      </c>
      <c r="Q540" s="93"/>
      <c r="R540" s="90">
        <v>0</v>
      </c>
    </row>
    <row r="541" spans="1:18" x14ac:dyDescent="0.15">
      <c r="A541" s="86"/>
      <c r="B541" s="86"/>
      <c r="C541" s="52" t="s">
        <v>259</v>
      </c>
      <c r="D541" s="52"/>
      <c r="E541" s="91"/>
      <c r="G541" s="69"/>
      <c r="H541" s="90"/>
      <c r="I541" s="90"/>
      <c r="J541" s="90"/>
      <c r="K541" s="90"/>
      <c r="L541" s="90"/>
      <c r="M541" s="90"/>
      <c r="N541" s="90"/>
      <c r="O541" s="90"/>
      <c r="P541" s="90"/>
      <c r="Q541" s="90"/>
      <c r="R541" s="90"/>
    </row>
    <row r="542" spans="1:18" x14ac:dyDescent="0.15">
      <c r="A542" s="86"/>
      <c r="B542" s="86"/>
      <c r="C542" s="86"/>
      <c r="D542" s="52"/>
      <c r="E542" s="91" t="s">
        <v>260</v>
      </c>
      <c r="F542" s="75">
        <f>SUM(H542:L542)</f>
        <v>159000</v>
      </c>
      <c r="G542" s="92"/>
      <c r="H542" s="90">
        <v>29000</v>
      </c>
      <c r="I542" s="93"/>
      <c r="J542" s="90">
        <v>0</v>
      </c>
      <c r="K542" s="93"/>
      <c r="L542" s="90">
        <v>130000</v>
      </c>
      <c r="M542" s="93"/>
      <c r="N542" s="90">
        <v>112000</v>
      </c>
      <c r="O542" s="93"/>
      <c r="P542" s="90">
        <v>47000</v>
      </c>
      <c r="Q542" s="93"/>
      <c r="R542" s="90">
        <v>0</v>
      </c>
    </row>
    <row r="543" spans="1:18" x14ac:dyDescent="0.15">
      <c r="A543" s="86"/>
      <c r="B543" s="86"/>
      <c r="C543" s="52" t="s">
        <v>261</v>
      </c>
      <c r="D543" s="52"/>
      <c r="E543" s="91"/>
      <c r="G543" s="69"/>
      <c r="H543" s="90"/>
      <c r="I543" s="90"/>
      <c r="J543" s="90"/>
      <c r="K543" s="90"/>
      <c r="L543" s="90"/>
      <c r="M543" s="90"/>
      <c r="N543" s="90"/>
      <c r="O543" s="90"/>
      <c r="P543" s="90"/>
      <c r="Q543" s="90"/>
      <c r="R543" s="90"/>
    </row>
    <row r="544" spans="1:18" ht="14.25" customHeight="1" x14ac:dyDescent="0.15">
      <c r="A544" s="86"/>
      <c r="B544" s="86"/>
      <c r="E544" s="52" t="s">
        <v>262</v>
      </c>
      <c r="F544" s="75">
        <f>SUM(H544:L544)</f>
        <v>3561000</v>
      </c>
      <c r="G544" s="92"/>
      <c r="H544" s="90">
        <v>0</v>
      </c>
      <c r="I544" s="93"/>
      <c r="J544" s="90">
        <v>0</v>
      </c>
      <c r="K544" s="93"/>
      <c r="L544" s="90">
        <v>3561000</v>
      </c>
      <c r="M544" s="93"/>
      <c r="N544" s="90">
        <v>2170000</v>
      </c>
      <c r="O544" s="93"/>
      <c r="P544" s="90">
        <v>1391000</v>
      </c>
      <c r="Q544" s="93"/>
      <c r="R544" s="90">
        <v>0</v>
      </c>
    </row>
    <row r="545" spans="1:18" x14ac:dyDescent="0.15">
      <c r="A545" s="86"/>
      <c r="B545" s="86"/>
      <c r="C545" s="52" t="s">
        <v>263</v>
      </c>
      <c r="D545" s="52"/>
      <c r="E545" s="91"/>
      <c r="G545" s="69"/>
      <c r="H545" s="90"/>
      <c r="I545" s="90"/>
      <c r="J545" s="90"/>
      <c r="K545" s="90"/>
      <c r="L545" s="90"/>
      <c r="M545" s="90"/>
      <c r="N545" s="90"/>
      <c r="O545" s="90"/>
      <c r="P545" s="90"/>
      <c r="Q545" s="90"/>
      <c r="R545" s="90"/>
    </row>
    <row r="546" spans="1:18" x14ac:dyDescent="0.15">
      <c r="A546" s="86"/>
      <c r="B546" s="86"/>
      <c r="C546" s="52"/>
      <c r="D546" s="52"/>
      <c r="E546" s="91" t="s">
        <v>264</v>
      </c>
      <c r="F546" s="75">
        <f>SUM(H546:L546)</f>
        <v>1260000</v>
      </c>
      <c r="G546" s="92"/>
      <c r="H546" s="90">
        <v>579000</v>
      </c>
      <c r="I546" s="93"/>
      <c r="J546" s="90">
        <v>543000</v>
      </c>
      <c r="K546" s="93"/>
      <c r="L546" s="90">
        <v>138000</v>
      </c>
      <c r="M546" s="93"/>
      <c r="N546" s="90">
        <v>812000</v>
      </c>
      <c r="O546" s="93"/>
      <c r="P546" s="90">
        <v>537000</v>
      </c>
      <c r="Q546" s="93"/>
      <c r="R546" s="90">
        <v>89000</v>
      </c>
    </row>
    <row r="547" spans="1:18" ht="14.25" customHeight="1" x14ac:dyDescent="0.15">
      <c r="A547" s="86"/>
      <c r="B547" s="86"/>
      <c r="C547" s="52" t="s">
        <v>265</v>
      </c>
      <c r="G547" s="69"/>
      <c r="H547" s="90"/>
      <c r="I547" s="90"/>
      <c r="J547" s="90"/>
      <c r="K547" s="90"/>
      <c r="L547" s="90"/>
      <c r="M547" s="90"/>
      <c r="N547" s="90"/>
      <c r="O547" s="90"/>
      <c r="P547" s="90"/>
      <c r="Q547" s="90"/>
      <c r="R547" s="90"/>
    </row>
    <row r="548" spans="1:18" x14ac:dyDescent="0.15">
      <c r="A548" s="86"/>
      <c r="B548" s="86"/>
      <c r="C548" s="86"/>
      <c r="E548" s="52" t="s">
        <v>266</v>
      </c>
      <c r="F548" s="75">
        <f>SUM(H548:L548)</f>
        <v>463000</v>
      </c>
      <c r="G548" s="92"/>
      <c r="H548" s="90">
        <v>0</v>
      </c>
      <c r="I548" s="93"/>
      <c r="J548" s="90">
        <v>352000</v>
      </c>
      <c r="K548" s="93"/>
      <c r="L548" s="90">
        <v>111000</v>
      </c>
      <c r="M548" s="93"/>
      <c r="N548" s="90">
        <v>226000</v>
      </c>
      <c r="O548" s="93"/>
      <c r="P548" s="90">
        <v>237000</v>
      </c>
      <c r="Q548" s="93"/>
      <c r="R548" s="90">
        <v>0</v>
      </c>
    </row>
    <row r="549" spans="1:18" x14ac:dyDescent="0.15">
      <c r="A549" s="86"/>
      <c r="B549" s="86"/>
      <c r="C549" s="52" t="s">
        <v>267</v>
      </c>
      <c r="D549" s="52"/>
      <c r="E549" s="91"/>
      <c r="F549" s="75">
        <f>SUM(H549:L549)</f>
        <v>52000</v>
      </c>
      <c r="G549" s="92"/>
      <c r="H549" s="90">
        <v>37000</v>
      </c>
      <c r="I549" s="93"/>
      <c r="J549" s="90">
        <v>15000</v>
      </c>
      <c r="K549" s="93"/>
      <c r="L549" s="90">
        <v>0</v>
      </c>
      <c r="M549" s="93"/>
      <c r="N549" s="90">
        <v>19000</v>
      </c>
      <c r="O549" s="93"/>
      <c r="P549" s="90">
        <v>33000</v>
      </c>
      <c r="Q549" s="93"/>
      <c r="R549" s="90">
        <v>0</v>
      </c>
    </row>
    <row r="550" spans="1:18" x14ac:dyDescent="0.15">
      <c r="A550" s="86"/>
      <c r="B550" s="86"/>
      <c r="C550" s="52" t="s">
        <v>268</v>
      </c>
      <c r="D550" s="52"/>
      <c r="E550" s="91"/>
      <c r="F550" s="75">
        <f>SUM(H550:L550)</f>
        <v>8000</v>
      </c>
      <c r="G550" s="92"/>
      <c r="H550" s="90">
        <v>8000</v>
      </c>
      <c r="I550" s="93"/>
      <c r="J550" s="90">
        <v>0</v>
      </c>
      <c r="K550" s="93"/>
      <c r="L550" s="90">
        <v>0</v>
      </c>
      <c r="M550" s="93"/>
      <c r="N550" s="90">
        <v>6000</v>
      </c>
      <c r="O550" s="93"/>
      <c r="P550" s="90">
        <v>2000</v>
      </c>
      <c r="Q550" s="93"/>
      <c r="R550" s="90">
        <v>0</v>
      </c>
    </row>
    <row r="551" spans="1:18" x14ac:dyDescent="0.15">
      <c r="A551" s="86"/>
      <c r="B551" s="86"/>
      <c r="C551" s="52" t="s">
        <v>269</v>
      </c>
      <c r="D551" s="52"/>
      <c r="E551" s="91"/>
      <c r="F551" s="75">
        <f>SUM(H551:L551)</f>
        <v>2749000</v>
      </c>
      <c r="G551" s="92"/>
      <c r="H551" s="90">
        <v>42000</v>
      </c>
      <c r="I551" s="93"/>
      <c r="J551" s="90">
        <v>397000</v>
      </c>
      <c r="K551" s="93"/>
      <c r="L551" s="90">
        <v>2310000</v>
      </c>
      <c r="M551" s="93"/>
      <c r="N551" s="90">
        <v>1252000</v>
      </c>
      <c r="O551" s="93"/>
      <c r="P551" s="90">
        <v>1497000</v>
      </c>
      <c r="Q551" s="93"/>
      <c r="R551" s="90">
        <v>0</v>
      </c>
    </row>
    <row r="552" spans="1:18" x14ac:dyDescent="0.15">
      <c r="A552" s="86"/>
      <c r="B552" s="86"/>
      <c r="C552" s="52" t="s">
        <v>270</v>
      </c>
      <c r="D552" s="52"/>
      <c r="E552" s="91"/>
      <c r="F552" s="75">
        <f>SUM(H552:L552)</f>
        <v>1341000</v>
      </c>
      <c r="G552" s="92"/>
      <c r="H552" s="90">
        <v>114000</v>
      </c>
      <c r="I552" s="93"/>
      <c r="J552" s="90">
        <v>6000</v>
      </c>
      <c r="K552" s="93"/>
      <c r="L552" s="90">
        <v>1221000</v>
      </c>
      <c r="M552" s="93"/>
      <c r="N552" s="90">
        <v>601000</v>
      </c>
      <c r="O552" s="93"/>
      <c r="P552" s="90">
        <v>740000</v>
      </c>
      <c r="Q552" s="93"/>
      <c r="R552" s="90">
        <v>0</v>
      </c>
    </row>
    <row r="553" spans="1:18" x14ac:dyDescent="0.15">
      <c r="A553" s="86"/>
      <c r="B553" s="86"/>
      <c r="C553" s="52" t="s">
        <v>271</v>
      </c>
      <c r="D553" s="52"/>
      <c r="E553" s="91"/>
    </row>
    <row r="554" spans="1:18" x14ac:dyDescent="0.15">
      <c r="A554" s="86"/>
      <c r="B554" s="86"/>
      <c r="C554" s="52" t="s">
        <v>272</v>
      </c>
      <c r="D554" s="52"/>
      <c r="E554" s="91" t="s">
        <v>273</v>
      </c>
      <c r="F554" s="75">
        <f t="shared" ref="F554:F568" si="20">SUM(H554:L554)</f>
        <v>33000</v>
      </c>
      <c r="G554" s="92"/>
      <c r="H554" s="90">
        <v>0</v>
      </c>
      <c r="I554" s="93"/>
      <c r="J554" s="90">
        <v>0</v>
      </c>
      <c r="K554" s="93"/>
      <c r="L554" s="90">
        <v>33000</v>
      </c>
      <c r="M554" s="93"/>
      <c r="N554" s="90">
        <v>23000</v>
      </c>
      <c r="O554" s="93"/>
      <c r="P554" s="90">
        <v>10000</v>
      </c>
      <c r="Q554" s="93"/>
      <c r="R554" s="90">
        <v>0</v>
      </c>
    </row>
    <row r="555" spans="1:18" x14ac:dyDescent="0.15">
      <c r="A555" s="86"/>
      <c r="B555" s="86"/>
      <c r="C555" s="52" t="s">
        <v>274</v>
      </c>
      <c r="D555" s="52"/>
      <c r="E555" s="91"/>
      <c r="F555" s="75">
        <f t="shared" si="20"/>
        <v>395000</v>
      </c>
      <c r="G555" s="92"/>
      <c r="H555" s="90">
        <v>0</v>
      </c>
      <c r="I555" s="93"/>
      <c r="J555" s="90">
        <v>1000</v>
      </c>
      <c r="K555" s="93"/>
      <c r="L555" s="90">
        <v>394000</v>
      </c>
      <c r="M555" s="93"/>
      <c r="N555" s="90">
        <v>25000</v>
      </c>
      <c r="O555" s="93"/>
      <c r="P555" s="90">
        <v>370000</v>
      </c>
      <c r="Q555" s="93"/>
      <c r="R555" s="90">
        <v>0</v>
      </c>
    </row>
    <row r="556" spans="1:18" x14ac:dyDescent="0.15">
      <c r="A556" s="86"/>
      <c r="B556" s="86"/>
      <c r="C556" s="52" t="s">
        <v>275</v>
      </c>
      <c r="D556" s="52"/>
      <c r="E556" s="91"/>
      <c r="F556" s="75">
        <f t="shared" si="20"/>
        <v>2322000</v>
      </c>
      <c r="G556" s="92"/>
      <c r="H556" s="90">
        <v>564000</v>
      </c>
      <c r="I556" s="93"/>
      <c r="J556" s="90">
        <v>598000</v>
      </c>
      <c r="K556" s="93"/>
      <c r="L556" s="90">
        <v>1160000</v>
      </c>
      <c r="M556" s="93"/>
      <c r="N556" s="90">
        <v>804000</v>
      </c>
      <c r="O556" s="93"/>
      <c r="P556" s="90">
        <v>1705000</v>
      </c>
      <c r="Q556" s="93"/>
      <c r="R556" s="90">
        <v>187000</v>
      </c>
    </row>
    <row r="557" spans="1:18" x14ac:dyDescent="0.15">
      <c r="A557" s="86"/>
      <c r="B557" s="86"/>
      <c r="C557" s="52" t="s">
        <v>276</v>
      </c>
      <c r="D557" s="52"/>
      <c r="E557" s="91"/>
      <c r="F557" s="75">
        <f t="shared" si="20"/>
        <v>130000</v>
      </c>
      <c r="G557" s="92"/>
      <c r="H557" s="90">
        <v>0</v>
      </c>
      <c r="I557" s="93"/>
      <c r="J557" s="90">
        <v>75000</v>
      </c>
      <c r="K557" s="93"/>
      <c r="L557" s="90">
        <v>55000</v>
      </c>
      <c r="M557" s="93"/>
      <c r="N557" s="90">
        <v>64000</v>
      </c>
      <c r="O557" s="93"/>
      <c r="P557" s="90">
        <v>66000</v>
      </c>
      <c r="Q557" s="93"/>
      <c r="R557" s="90">
        <v>0</v>
      </c>
    </row>
    <row r="558" spans="1:18" x14ac:dyDescent="0.15">
      <c r="A558" s="86"/>
      <c r="B558" s="86"/>
      <c r="C558" s="52" t="s">
        <v>277</v>
      </c>
      <c r="D558" s="52"/>
      <c r="E558" s="91"/>
      <c r="F558" s="75">
        <f t="shared" si="20"/>
        <v>199000</v>
      </c>
      <c r="G558" s="92"/>
      <c r="H558" s="90">
        <v>0</v>
      </c>
      <c r="I558" s="93"/>
      <c r="J558" s="90">
        <v>6000</v>
      </c>
      <c r="K558" s="93"/>
      <c r="L558" s="90">
        <v>193000</v>
      </c>
      <c r="M558" s="93"/>
      <c r="N558" s="90">
        <v>125000</v>
      </c>
      <c r="O558" s="93"/>
      <c r="P558" s="90">
        <v>74000</v>
      </c>
      <c r="Q558" s="93"/>
      <c r="R558" s="90">
        <v>0</v>
      </c>
    </row>
    <row r="559" spans="1:18" x14ac:dyDescent="0.15">
      <c r="A559" s="86"/>
      <c r="B559" s="86"/>
      <c r="C559" s="52" t="s">
        <v>278</v>
      </c>
      <c r="D559" s="52"/>
      <c r="E559" s="91"/>
      <c r="F559" s="75">
        <f t="shared" si="20"/>
        <v>1015000</v>
      </c>
      <c r="G559" s="92"/>
      <c r="H559" s="90">
        <v>15000</v>
      </c>
      <c r="I559" s="93"/>
      <c r="J559" s="90">
        <v>387000</v>
      </c>
      <c r="K559" s="93"/>
      <c r="L559" s="90">
        <v>613000</v>
      </c>
      <c r="M559" s="93"/>
      <c r="N559" s="90">
        <v>619000</v>
      </c>
      <c r="O559" s="93"/>
      <c r="P559" s="90">
        <v>396000</v>
      </c>
      <c r="Q559" s="93"/>
      <c r="R559" s="90">
        <v>0</v>
      </c>
    </row>
    <row r="560" spans="1:18" x14ac:dyDescent="0.15">
      <c r="A560" s="86"/>
      <c r="B560" s="86"/>
      <c r="C560" s="52" t="s">
        <v>218</v>
      </c>
      <c r="D560" s="52"/>
      <c r="E560" s="91"/>
      <c r="F560" s="75">
        <f t="shared" si="20"/>
        <v>1298000</v>
      </c>
      <c r="G560" s="92"/>
      <c r="H560" s="90">
        <v>69000</v>
      </c>
      <c r="I560" s="93"/>
      <c r="J560" s="90">
        <v>159000</v>
      </c>
      <c r="K560" s="93"/>
      <c r="L560" s="90">
        <v>1070000</v>
      </c>
      <c r="M560" s="93"/>
      <c r="N560" s="90">
        <v>662000</v>
      </c>
      <c r="O560" s="93"/>
      <c r="P560" s="90">
        <v>636000</v>
      </c>
      <c r="Q560" s="93"/>
      <c r="R560" s="90">
        <v>0</v>
      </c>
    </row>
    <row r="561" spans="1:18" x14ac:dyDescent="0.15">
      <c r="A561" s="86"/>
      <c r="B561" s="86"/>
      <c r="C561" s="52" t="s">
        <v>279</v>
      </c>
      <c r="D561" s="52"/>
      <c r="E561" s="91"/>
      <c r="F561" s="75">
        <f t="shared" si="20"/>
        <v>23411000</v>
      </c>
      <c r="G561" s="92"/>
      <c r="H561" s="90">
        <v>66000</v>
      </c>
      <c r="I561" s="93"/>
      <c r="J561" s="90">
        <v>27000</v>
      </c>
      <c r="K561" s="93"/>
      <c r="L561" s="90">
        <v>23318000</v>
      </c>
      <c r="M561" s="93"/>
      <c r="N561" s="90">
        <v>6804000</v>
      </c>
      <c r="O561" s="93"/>
      <c r="P561" s="90">
        <v>16607000</v>
      </c>
      <c r="Q561" s="93"/>
      <c r="R561" s="90">
        <v>0</v>
      </c>
    </row>
    <row r="562" spans="1:18" x14ac:dyDescent="0.15">
      <c r="A562" s="86"/>
      <c r="B562" s="86"/>
      <c r="C562" s="52" t="s">
        <v>219</v>
      </c>
      <c r="D562" s="52"/>
      <c r="E562" s="91"/>
      <c r="F562" s="75">
        <f t="shared" si="20"/>
        <v>1079000</v>
      </c>
      <c r="G562" s="92"/>
      <c r="H562" s="90">
        <v>0</v>
      </c>
      <c r="I562" s="93"/>
      <c r="J562" s="90">
        <v>62000</v>
      </c>
      <c r="K562" s="93"/>
      <c r="L562" s="90">
        <v>1017000</v>
      </c>
      <c r="M562" s="93"/>
      <c r="N562" s="90">
        <v>662000</v>
      </c>
      <c r="O562" s="93"/>
      <c r="P562" s="90">
        <v>417000</v>
      </c>
      <c r="Q562" s="93"/>
      <c r="R562" s="90">
        <v>0</v>
      </c>
    </row>
    <row r="563" spans="1:18" x14ac:dyDescent="0.15">
      <c r="A563" s="86"/>
      <c r="B563" s="86"/>
      <c r="C563" s="52" t="s">
        <v>280</v>
      </c>
      <c r="D563" s="52"/>
      <c r="E563" s="91"/>
      <c r="F563" s="75">
        <f t="shared" si="20"/>
        <v>256000</v>
      </c>
      <c r="G563" s="92"/>
      <c r="H563" s="90">
        <v>244000</v>
      </c>
      <c r="I563" s="93"/>
      <c r="J563" s="90">
        <v>12000</v>
      </c>
      <c r="K563" s="93"/>
      <c r="L563" s="90">
        <v>0</v>
      </c>
      <c r="M563" s="93"/>
      <c r="N563" s="90">
        <v>69000</v>
      </c>
      <c r="O563" s="93"/>
      <c r="P563" s="90">
        <v>187000</v>
      </c>
      <c r="Q563" s="93"/>
      <c r="R563" s="90">
        <v>0</v>
      </c>
    </row>
    <row r="564" spans="1:18" x14ac:dyDescent="0.15">
      <c r="A564" s="86"/>
      <c r="B564" s="86"/>
      <c r="C564" s="52" t="s">
        <v>281</v>
      </c>
      <c r="D564" s="52"/>
      <c r="E564" s="91"/>
      <c r="F564" s="75">
        <f t="shared" si="20"/>
        <v>-123000</v>
      </c>
      <c r="G564" s="92"/>
      <c r="H564" s="90">
        <v>-8000</v>
      </c>
      <c r="I564" s="93"/>
      <c r="J564" s="90">
        <v>48000</v>
      </c>
      <c r="K564" s="93"/>
      <c r="L564" s="90">
        <v>-163000</v>
      </c>
      <c r="M564" s="93"/>
      <c r="N564" s="90">
        <v>0</v>
      </c>
      <c r="O564" s="93"/>
      <c r="P564" s="90">
        <v>-123000</v>
      </c>
      <c r="Q564" s="93"/>
      <c r="R564" s="90">
        <v>0</v>
      </c>
    </row>
    <row r="565" spans="1:18" x14ac:dyDescent="0.15">
      <c r="A565" s="86"/>
      <c r="B565" s="86"/>
      <c r="C565" s="52" t="s">
        <v>282</v>
      </c>
      <c r="D565" s="52"/>
      <c r="E565" s="91"/>
      <c r="F565" s="75">
        <f t="shared" si="20"/>
        <v>2249000</v>
      </c>
      <c r="G565" s="92"/>
      <c r="H565" s="90">
        <v>97000</v>
      </c>
      <c r="I565" s="93"/>
      <c r="J565" s="90">
        <v>312000</v>
      </c>
      <c r="K565" s="93"/>
      <c r="L565" s="90">
        <v>1840000</v>
      </c>
      <c r="M565" s="93"/>
      <c r="N565" s="90">
        <v>962000</v>
      </c>
      <c r="O565" s="93"/>
      <c r="P565" s="90">
        <v>1291000</v>
      </c>
      <c r="Q565" s="93"/>
      <c r="R565" s="90">
        <v>4000</v>
      </c>
    </row>
    <row r="566" spans="1:18" x14ac:dyDescent="0.15">
      <c r="A566" s="86"/>
      <c r="B566" s="86"/>
      <c r="C566" s="52" t="s">
        <v>220</v>
      </c>
      <c r="D566" s="52"/>
      <c r="E566" s="91"/>
      <c r="F566" s="75">
        <f t="shared" si="20"/>
        <v>8443000</v>
      </c>
      <c r="G566" s="92"/>
      <c r="H566" s="90">
        <v>416000</v>
      </c>
      <c r="I566" s="93"/>
      <c r="J566" s="90">
        <v>115000</v>
      </c>
      <c r="K566" s="93"/>
      <c r="L566" s="90">
        <v>7912000</v>
      </c>
      <c r="M566" s="93"/>
      <c r="N566" s="90">
        <v>4414000</v>
      </c>
      <c r="O566" s="93"/>
      <c r="P566" s="90">
        <v>4029000</v>
      </c>
      <c r="Q566" s="93"/>
      <c r="R566" s="90">
        <v>0</v>
      </c>
    </row>
    <row r="567" spans="1:18" x14ac:dyDescent="0.15">
      <c r="A567" s="86"/>
      <c r="B567" s="86"/>
      <c r="C567" s="52" t="s">
        <v>221</v>
      </c>
      <c r="D567" s="52"/>
      <c r="F567" s="75">
        <f t="shared" si="20"/>
        <v>210000</v>
      </c>
      <c r="G567" s="92"/>
      <c r="H567" s="90">
        <v>59000</v>
      </c>
      <c r="I567" s="93"/>
      <c r="J567" s="90">
        <v>9000</v>
      </c>
      <c r="K567" s="93"/>
      <c r="L567" s="90">
        <v>142000</v>
      </c>
      <c r="M567" s="93"/>
      <c r="N567" s="90">
        <v>126000</v>
      </c>
      <c r="O567" s="93"/>
      <c r="P567" s="90">
        <v>85000</v>
      </c>
      <c r="Q567" s="93"/>
      <c r="R567" s="90">
        <v>1000</v>
      </c>
    </row>
    <row r="568" spans="1:18" x14ac:dyDescent="0.15">
      <c r="A568" s="86"/>
      <c r="B568" s="86"/>
      <c r="C568" s="52" t="s">
        <v>283</v>
      </c>
      <c r="D568" s="52"/>
      <c r="F568" s="75">
        <f t="shared" si="20"/>
        <v>981000</v>
      </c>
      <c r="G568" s="92"/>
      <c r="H568" s="90">
        <v>0</v>
      </c>
      <c r="I568" s="93"/>
      <c r="J568" s="90">
        <v>17000</v>
      </c>
      <c r="K568" s="93"/>
      <c r="L568" s="90">
        <v>964000</v>
      </c>
      <c r="M568" s="93"/>
      <c r="N568" s="90">
        <v>530000</v>
      </c>
      <c r="O568" s="93"/>
      <c r="P568" s="90">
        <v>451000</v>
      </c>
      <c r="Q568" s="93"/>
      <c r="R568" s="90">
        <v>0</v>
      </c>
    </row>
    <row r="569" spans="1:18" x14ac:dyDescent="0.15">
      <c r="A569" s="86"/>
      <c r="B569" s="86"/>
      <c r="C569" s="52" t="s">
        <v>284</v>
      </c>
      <c r="D569" s="52"/>
      <c r="E569" s="91"/>
      <c r="G569" s="69"/>
      <c r="H569" s="90"/>
      <c r="I569" s="90"/>
      <c r="J569" s="90"/>
      <c r="K569" s="90"/>
      <c r="L569" s="90"/>
      <c r="M569" s="90"/>
      <c r="N569" s="90"/>
      <c r="O569" s="90"/>
      <c r="P569" s="90"/>
      <c r="Q569" s="90"/>
      <c r="R569" s="90"/>
    </row>
    <row r="570" spans="1:18" x14ac:dyDescent="0.15">
      <c r="A570" s="86"/>
      <c r="B570" s="86"/>
      <c r="E570" s="52" t="s">
        <v>285</v>
      </c>
      <c r="F570" s="75">
        <f>SUM(H570:L570)</f>
        <v>751000</v>
      </c>
      <c r="G570" s="92"/>
      <c r="H570" s="90">
        <v>224000</v>
      </c>
      <c r="I570" s="93"/>
      <c r="J570" s="90">
        <v>309000</v>
      </c>
      <c r="K570" s="93"/>
      <c r="L570" s="90">
        <v>218000</v>
      </c>
      <c r="M570" s="93"/>
      <c r="N570" s="90">
        <v>477000</v>
      </c>
      <c r="O570" s="93"/>
      <c r="P570" s="90">
        <v>274000</v>
      </c>
      <c r="Q570" s="93"/>
      <c r="R570" s="90">
        <v>0</v>
      </c>
    </row>
    <row r="571" spans="1:18" x14ac:dyDescent="0.15">
      <c r="A571" s="86"/>
      <c r="B571" s="86"/>
      <c r="C571" s="52" t="s">
        <v>222</v>
      </c>
      <c r="D571" s="52"/>
      <c r="E571" s="91"/>
      <c r="G571" s="69"/>
      <c r="H571" s="90"/>
      <c r="I571" s="90"/>
      <c r="J571" s="90"/>
      <c r="K571" s="90"/>
      <c r="L571" s="90"/>
      <c r="M571" s="90"/>
      <c r="N571" s="90"/>
      <c r="O571" s="90"/>
      <c r="P571" s="90"/>
      <c r="Q571" s="90"/>
      <c r="R571" s="90"/>
    </row>
    <row r="572" spans="1:18" x14ac:dyDescent="0.15">
      <c r="A572" s="86"/>
      <c r="B572" s="86"/>
      <c r="E572" s="52" t="s">
        <v>223</v>
      </c>
      <c r="F572" s="75">
        <f>SUM(H572:L572)</f>
        <v>12462000</v>
      </c>
      <c r="G572" s="92"/>
      <c r="H572" s="90">
        <v>108000</v>
      </c>
      <c r="I572" s="93"/>
      <c r="J572" s="90">
        <v>249000</v>
      </c>
      <c r="K572" s="93"/>
      <c r="L572" s="90">
        <v>12105000</v>
      </c>
      <c r="M572" s="93"/>
      <c r="N572" s="90">
        <v>3414000</v>
      </c>
      <c r="O572" s="93"/>
      <c r="P572" s="90">
        <v>9048000</v>
      </c>
      <c r="Q572" s="93"/>
      <c r="R572" s="90">
        <v>0</v>
      </c>
    </row>
    <row r="573" spans="1:18" x14ac:dyDescent="0.15">
      <c r="A573" s="86"/>
      <c r="B573" s="86"/>
      <c r="C573" s="52" t="s">
        <v>224</v>
      </c>
      <c r="D573" s="52"/>
      <c r="E573" s="91"/>
      <c r="F573" s="75">
        <f>SUM(H573:L573)</f>
        <v>748000</v>
      </c>
      <c r="G573" s="92"/>
      <c r="H573" s="90">
        <v>29000</v>
      </c>
      <c r="I573" s="93"/>
      <c r="J573" s="90">
        <v>2000</v>
      </c>
      <c r="K573" s="93"/>
      <c r="L573" s="90">
        <v>717000</v>
      </c>
      <c r="M573" s="93"/>
      <c r="N573" s="90">
        <v>451000</v>
      </c>
      <c r="O573" s="93"/>
      <c r="P573" s="90">
        <v>297000</v>
      </c>
      <c r="Q573" s="93"/>
      <c r="R573" s="90">
        <v>0</v>
      </c>
    </row>
    <row r="574" spans="1:18" x14ac:dyDescent="0.15">
      <c r="A574" s="86"/>
      <c r="B574" s="86"/>
      <c r="C574" s="52" t="s">
        <v>225</v>
      </c>
      <c r="D574" s="52"/>
      <c r="E574" s="91"/>
      <c r="F574" s="75">
        <f>SUM(H574:L574)</f>
        <v>2857000</v>
      </c>
      <c r="G574" s="92"/>
      <c r="H574" s="90">
        <v>1545000</v>
      </c>
      <c r="I574" s="93"/>
      <c r="J574" s="90">
        <v>270000</v>
      </c>
      <c r="K574" s="93"/>
      <c r="L574" s="90">
        <v>1042000</v>
      </c>
      <c r="M574" s="93"/>
      <c r="N574" s="90">
        <v>1218000</v>
      </c>
      <c r="O574" s="93"/>
      <c r="P574" s="90">
        <v>1642000</v>
      </c>
      <c r="Q574" s="93"/>
      <c r="R574" s="90">
        <v>3000</v>
      </c>
    </row>
    <row r="575" spans="1:18" x14ac:dyDescent="0.15">
      <c r="A575" s="86"/>
      <c r="B575" s="86"/>
      <c r="C575" s="52" t="s">
        <v>226</v>
      </c>
      <c r="D575" s="52"/>
      <c r="E575" s="91"/>
      <c r="F575" s="75">
        <f>SUM(H575:L575)</f>
        <v>2524000</v>
      </c>
      <c r="G575" s="92"/>
      <c r="H575" s="90">
        <v>454000</v>
      </c>
      <c r="I575" s="93"/>
      <c r="J575" s="90">
        <v>562000</v>
      </c>
      <c r="K575" s="93"/>
      <c r="L575" s="90">
        <v>1508000</v>
      </c>
      <c r="M575" s="93"/>
      <c r="N575" s="90">
        <v>1508000</v>
      </c>
      <c r="O575" s="93"/>
      <c r="P575" s="90">
        <v>1019000</v>
      </c>
      <c r="Q575" s="93"/>
      <c r="R575" s="90">
        <v>3000</v>
      </c>
    </row>
    <row r="576" spans="1:18" x14ac:dyDescent="0.15">
      <c r="A576" s="86"/>
      <c r="B576" s="86"/>
      <c r="C576" s="52" t="s">
        <v>286</v>
      </c>
      <c r="D576" s="52"/>
      <c r="E576" s="91"/>
      <c r="F576" s="75">
        <f>SUM(H576:L576)</f>
        <v>5043000</v>
      </c>
      <c r="G576" s="92"/>
      <c r="H576" s="90">
        <v>3126000</v>
      </c>
      <c r="I576" s="93"/>
      <c r="J576" s="90">
        <v>349000</v>
      </c>
      <c r="K576" s="93"/>
      <c r="L576" s="90">
        <v>1568000</v>
      </c>
      <c r="M576" s="93"/>
      <c r="N576" s="90">
        <v>3105000</v>
      </c>
      <c r="O576" s="93"/>
      <c r="P576" s="90">
        <v>1938000</v>
      </c>
      <c r="Q576" s="93"/>
      <c r="R576" s="90">
        <v>0</v>
      </c>
    </row>
    <row r="577" spans="1:18" x14ac:dyDescent="0.15">
      <c r="A577" s="86"/>
      <c r="B577" s="86"/>
      <c r="C577" s="52" t="s">
        <v>287</v>
      </c>
      <c r="D577" s="52"/>
      <c r="E577" s="91"/>
      <c r="G577" s="69"/>
      <c r="H577" s="90"/>
      <c r="I577" s="90"/>
      <c r="J577" s="90"/>
      <c r="K577" s="90"/>
      <c r="L577" s="90"/>
      <c r="M577" s="90"/>
      <c r="N577" s="90"/>
      <c r="O577" s="90"/>
      <c r="P577" s="90"/>
      <c r="Q577" s="90"/>
      <c r="R577" s="90"/>
    </row>
    <row r="578" spans="1:18" x14ac:dyDescent="0.15">
      <c r="A578" s="86"/>
      <c r="B578" s="86"/>
      <c r="C578" s="52"/>
      <c r="D578" s="52"/>
      <c r="E578" s="91" t="s">
        <v>288</v>
      </c>
      <c r="F578" s="75">
        <f>SUM(H578:L578)</f>
        <v>1968000</v>
      </c>
      <c r="G578" s="92"/>
      <c r="H578" s="90">
        <v>193000</v>
      </c>
      <c r="I578" s="93"/>
      <c r="J578" s="90">
        <v>66000</v>
      </c>
      <c r="K578" s="93"/>
      <c r="L578" s="90">
        <v>1709000</v>
      </c>
      <c r="M578" s="93"/>
      <c r="N578" s="90">
        <v>1096000</v>
      </c>
      <c r="O578" s="93"/>
      <c r="P578" s="90">
        <v>872000</v>
      </c>
      <c r="Q578" s="93"/>
      <c r="R578" s="90">
        <v>0</v>
      </c>
    </row>
    <row r="579" spans="1:18" x14ac:dyDescent="0.15">
      <c r="A579" s="86"/>
      <c r="B579" s="86"/>
      <c r="C579" s="52" t="s">
        <v>227</v>
      </c>
      <c r="D579" s="52"/>
      <c r="E579" s="91"/>
      <c r="G579" s="69"/>
      <c r="H579" s="90"/>
      <c r="I579" s="90"/>
      <c r="J579" s="90"/>
      <c r="K579" s="90"/>
      <c r="L579" s="90"/>
      <c r="M579" s="90"/>
      <c r="N579" s="90"/>
      <c r="O579" s="90"/>
      <c r="P579" s="90"/>
      <c r="Q579" s="90"/>
      <c r="R579" s="90"/>
    </row>
    <row r="580" spans="1:18" x14ac:dyDescent="0.15">
      <c r="A580" s="86"/>
      <c r="B580" s="86"/>
      <c r="E580" s="52" t="s">
        <v>51</v>
      </c>
      <c r="F580" s="75">
        <f>SUM(H580:L580)</f>
        <v>2437000</v>
      </c>
      <c r="G580" s="92"/>
      <c r="H580" s="90">
        <v>265000</v>
      </c>
      <c r="I580" s="93"/>
      <c r="J580" s="90">
        <v>0</v>
      </c>
      <c r="K580" s="93"/>
      <c r="L580" s="90">
        <v>2172000</v>
      </c>
      <c r="M580" s="93"/>
      <c r="N580" s="90">
        <v>847000</v>
      </c>
      <c r="O580" s="93"/>
      <c r="P580" s="90">
        <v>1590000</v>
      </c>
      <c r="Q580" s="93"/>
      <c r="R580" s="90">
        <v>0</v>
      </c>
    </row>
    <row r="581" spans="1:18" x14ac:dyDescent="0.15">
      <c r="A581" s="86"/>
      <c r="B581" s="86"/>
      <c r="C581" s="53" t="s">
        <v>228</v>
      </c>
      <c r="F581" s="75">
        <f>SUM(H581:L581)</f>
        <v>2376000</v>
      </c>
      <c r="G581" s="92"/>
      <c r="H581" s="90">
        <v>0</v>
      </c>
      <c r="I581" s="93"/>
      <c r="J581" s="90">
        <v>1003000</v>
      </c>
      <c r="K581" s="93"/>
      <c r="L581" s="90">
        <v>1373000</v>
      </c>
      <c r="M581" s="93"/>
      <c r="N581" s="90">
        <v>1264000</v>
      </c>
      <c r="O581" s="93"/>
      <c r="P581" s="90">
        <v>1112000</v>
      </c>
      <c r="Q581" s="93"/>
      <c r="R581" s="90">
        <v>0</v>
      </c>
    </row>
    <row r="582" spans="1:18" x14ac:dyDescent="0.15">
      <c r="A582" s="86"/>
      <c r="B582" s="86"/>
      <c r="C582" s="52" t="s">
        <v>229</v>
      </c>
      <c r="D582" s="52"/>
      <c r="E582" s="91"/>
      <c r="G582" s="69"/>
      <c r="H582" s="90"/>
      <c r="I582" s="90"/>
      <c r="J582" s="90"/>
      <c r="K582" s="90"/>
      <c r="L582" s="90"/>
      <c r="M582" s="90"/>
      <c r="N582" s="90"/>
      <c r="O582" s="90"/>
      <c r="P582" s="90"/>
      <c r="Q582" s="90"/>
      <c r="R582" s="90"/>
    </row>
    <row r="583" spans="1:18" x14ac:dyDescent="0.15">
      <c r="A583" s="86"/>
      <c r="B583" s="86"/>
      <c r="E583" s="52" t="s">
        <v>230</v>
      </c>
      <c r="F583" s="75">
        <f>SUM(H583:L583)</f>
        <v>1459000</v>
      </c>
      <c r="G583" s="92"/>
      <c r="H583" s="90">
        <v>216000</v>
      </c>
      <c r="I583" s="93"/>
      <c r="J583" s="90">
        <v>49000</v>
      </c>
      <c r="K583" s="93"/>
      <c r="L583" s="90">
        <v>1194000</v>
      </c>
      <c r="M583" s="93"/>
      <c r="N583" s="90">
        <v>847000</v>
      </c>
      <c r="O583" s="93"/>
      <c r="P583" s="90">
        <v>612000</v>
      </c>
      <c r="Q583" s="93"/>
      <c r="R583" s="90">
        <v>0</v>
      </c>
    </row>
    <row r="584" spans="1:18" x14ac:dyDescent="0.15">
      <c r="A584" s="86"/>
      <c r="B584" s="86"/>
      <c r="C584" s="52" t="s">
        <v>231</v>
      </c>
      <c r="D584" s="52"/>
      <c r="E584" s="91"/>
      <c r="F584" s="75">
        <f>SUM(H584:L584)</f>
        <v>413000</v>
      </c>
      <c r="G584" s="92"/>
      <c r="H584" s="90">
        <v>0</v>
      </c>
      <c r="I584" s="93"/>
      <c r="J584" s="90">
        <v>0</v>
      </c>
      <c r="K584" s="93"/>
      <c r="L584" s="90">
        <v>413000</v>
      </c>
      <c r="M584" s="93"/>
      <c r="N584" s="90">
        <v>271000</v>
      </c>
      <c r="O584" s="93"/>
      <c r="P584" s="90">
        <v>142000</v>
      </c>
      <c r="Q584" s="93"/>
      <c r="R584" s="90">
        <v>0</v>
      </c>
    </row>
    <row r="585" spans="1:18" x14ac:dyDescent="0.15">
      <c r="A585" s="86"/>
      <c r="B585" s="86"/>
      <c r="C585" s="53" t="s">
        <v>289</v>
      </c>
      <c r="D585" s="52"/>
      <c r="G585" s="69"/>
      <c r="H585" s="90"/>
      <c r="I585" s="90"/>
      <c r="J585" s="90"/>
      <c r="K585" s="90"/>
      <c r="L585" s="90"/>
      <c r="M585" s="90"/>
      <c r="N585" s="90"/>
      <c r="O585" s="90"/>
      <c r="P585" s="90"/>
      <c r="Q585" s="90"/>
      <c r="R585" s="90"/>
    </row>
    <row r="586" spans="1:18" x14ac:dyDescent="0.15">
      <c r="A586" s="86"/>
      <c r="B586" s="86"/>
      <c r="C586" s="86"/>
      <c r="E586" s="53" t="s">
        <v>290</v>
      </c>
      <c r="F586" s="75">
        <f>SUM(H586:L586)</f>
        <v>2993000</v>
      </c>
      <c r="G586" s="92"/>
      <c r="H586" s="90">
        <v>3000</v>
      </c>
      <c r="I586" s="93"/>
      <c r="J586" s="90">
        <v>5000</v>
      </c>
      <c r="K586" s="93"/>
      <c r="L586" s="90">
        <v>2985000</v>
      </c>
      <c r="M586" s="93"/>
      <c r="N586" s="90">
        <v>2072000</v>
      </c>
      <c r="O586" s="93"/>
      <c r="P586" s="90">
        <v>921000</v>
      </c>
      <c r="Q586" s="93"/>
      <c r="R586" s="90">
        <v>0</v>
      </c>
    </row>
    <row r="587" spans="1:18" x14ac:dyDescent="0.15">
      <c r="A587" s="86"/>
      <c r="B587" s="86"/>
      <c r="C587" s="52" t="s">
        <v>232</v>
      </c>
      <c r="D587" s="52"/>
      <c r="E587" s="91"/>
      <c r="F587" s="75">
        <f>SUM(H587:L587)</f>
        <v>921000</v>
      </c>
      <c r="G587" s="92"/>
      <c r="H587" s="90">
        <v>5000</v>
      </c>
      <c r="I587" s="93"/>
      <c r="J587" s="90">
        <v>-1000</v>
      </c>
      <c r="K587" s="93"/>
      <c r="L587" s="90">
        <v>917000</v>
      </c>
      <c r="M587" s="93"/>
      <c r="N587" s="90">
        <v>514000</v>
      </c>
      <c r="O587" s="93"/>
      <c r="P587" s="90">
        <v>407000</v>
      </c>
      <c r="Q587" s="93"/>
      <c r="R587" s="90">
        <v>0</v>
      </c>
    </row>
    <row r="588" spans="1:18" x14ac:dyDescent="0.15">
      <c r="A588" s="86"/>
      <c r="B588" s="86"/>
      <c r="C588" s="52" t="s">
        <v>233</v>
      </c>
      <c r="D588" s="52"/>
      <c r="E588" s="91"/>
      <c r="F588" s="75">
        <f>SUM(H588:L588)</f>
        <v>1577000</v>
      </c>
      <c r="G588" s="92"/>
      <c r="H588" s="90">
        <v>5000</v>
      </c>
      <c r="I588" s="93"/>
      <c r="J588" s="90">
        <v>101000</v>
      </c>
      <c r="K588" s="93"/>
      <c r="L588" s="90">
        <v>1471000</v>
      </c>
      <c r="M588" s="93"/>
      <c r="N588" s="90">
        <v>718000</v>
      </c>
      <c r="O588" s="93"/>
      <c r="P588" s="90">
        <v>1003000</v>
      </c>
      <c r="Q588" s="93"/>
      <c r="R588" s="90">
        <v>144000</v>
      </c>
    </row>
    <row r="589" spans="1:18" x14ac:dyDescent="0.15">
      <c r="A589" s="86"/>
      <c r="B589" s="86"/>
      <c r="C589" s="52" t="s">
        <v>291</v>
      </c>
      <c r="D589" s="52"/>
      <c r="E589" s="91"/>
      <c r="G589" s="69"/>
      <c r="H589" s="90"/>
      <c r="I589" s="90"/>
      <c r="J589" s="90"/>
      <c r="K589" s="90"/>
      <c r="L589" s="90"/>
      <c r="M589" s="90"/>
      <c r="N589" s="90"/>
      <c r="O589" s="90"/>
      <c r="P589" s="90"/>
      <c r="Q589" s="90"/>
      <c r="R589" s="90"/>
    </row>
    <row r="590" spans="1:18" x14ac:dyDescent="0.15">
      <c r="A590" s="86"/>
      <c r="B590" s="86"/>
      <c r="C590" s="86"/>
      <c r="D590" s="52"/>
      <c r="E590" s="91" t="s">
        <v>292</v>
      </c>
      <c r="F590" s="75">
        <f>SUM(H590:L590)</f>
        <v>648000</v>
      </c>
      <c r="G590" s="92"/>
      <c r="H590" s="90">
        <v>168000</v>
      </c>
      <c r="I590" s="93"/>
      <c r="J590" s="90">
        <v>25000</v>
      </c>
      <c r="K590" s="93"/>
      <c r="L590" s="90">
        <v>455000</v>
      </c>
      <c r="M590" s="93"/>
      <c r="N590" s="90">
        <v>376000</v>
      </c>
      <c r="O590" s="93"/>
      <c r="P590" s="90">
        <v>272000</v>
      </c>
      <c r="Q590" s="93"/>
      <c r="R590" s="90">
        <v>0</v>
      </c>
    </row>
    <row r="591" spans="1:18" x14ac:dyDescent="0.15">
      <c r="A591" s="86"/>
      <c r="B591" s="86"/>
      <c r="C591" s="52" t="s">
        <v>293</v>
      </c>
      <c r="D591" s="52"/>
      <c r="E591" s="91"/>
      <c r="F591" s="75">
        <f>SUM(H591:L591)</f>
        <v>82000</v>
      </c>
      <c r="G591" s="92"/>
      <c r="H591" s="90">
        <v>75000</v>
      </c>
      <c r="I591" s="93"/>
      <c r="J591" s="90">
        <v>7000</v>
      </c>
      <c r="K591" s="93"/>
      <c r="L591" s="90">
        <v>0</v>
      </c>
      <c r="M591" s="93"/>
      <c r="N591" s="90">
        <v>57000</v>
      </c>
      <c r="O591" s="93"/>
      <c r="P591" s="90">
        <v>25000</v>
      </c>
      <c r="Q591" s="93"/>
      <c r="R591" s="90">
        <v>0</v>
      </c>
    </row>
    <row r="592" spans="1:18" x14ac:dyDescent="0.15">
      <c r="A592" s="86"/>
      <c r="B592" s="86"/>
      <c r="C592" s="52" t="s">
        <v>234</v>
      </c>
      <c r="D592" s="52"/>
      <c r="E592" s="53"/>
      <c r="F592" s="75">
        <f>SUM(H592:L592)</f>
        <v>-14247000</v>
      </c>
      <c r="G592" s="92"/>
      <c r="H592" s="90">
        <v>6510000</v>
      </c>
      <c r="I592" s="93"/>
      <c r="J592" s="90">
        <v>-28992000</v>
      </c>
      <c r="K592" s="93"/>
      <c r="L592" s="90">
        <v>8235000</v>
      </c>
      <c r="M592" s="93"/>
      <c r="N592" s="90">
        <v>1949000</v>
      </c>
      <c r="O592" s="93"/>
      <c r="P592" s="90">
        <v>-16194000</v>
      </c>
      <c r="Q592" s="93"/>
      <c r="R592" s="90">
        <v>2000</v>
      </c>
    </row>
    <row r="593" spans="1:18" x14ac:dyDescent="0.15">
      <c r="A593" s="86"/>
      <c r="B593" s="86"/>
      <c r="C593" s="52" t="s">
        <v>235</v>
      </c>
      <c r="D593" s="52"/>
      <c r="E593" s="53"/>
      <c r="F593" s="75">
        <f>SUM(H593:L593)</f>
        <v>2000</v>
      </c>
      <c r="G593" s="92"/>
      <c r="H593" s="90">
        <v>0</v>
      </c>
      <c r="I593" s="93"/>
      <c r="J593" s="90">
        <v>2000</v>
      </c>
      <c r="K593" s="93"/>
      <c r="L593" s="90">
        <v>0</v>
      </c>
      <c r="M593" s="93"/>
      <c r="N593" s="90">
        <v>2000</v>
      </c>
      <c r="O593" s="93"/>
      <c r="P593" s="90">
        <v>0</v>
      </c>
      <c r="Q593" s="93"/>
      <c r="R593" s="90">
        <v>0</v>
      </c>
    </row>
    <row r="594" spans="1:18" x14ac:dyDescent="0.15">
      <c r="A594" s="86"/>
      <c r="B594" s="86"/>
      <c r="C594" s="52" t="s">
        <v>295</v>
      </c>
      <c r="D594" s="52"/>
      <c r="E594" s="91"/>
      <c r="F594" s="75">
        <f t="shared" ref="F594:F605" si="21">SUM(H594:L594)</f>
        <v>1974000</v>
      </c>
      <c r="G594" s="92"/>
      <c r="H594" s="90">
        <v>621000</v>
      </c>
      <c r="I594" s="93"/>
      <c r="J594" s="90">
        <v>3000</v>
      </c>
      <c r="K594" s="93"/>
      <c r="L594" s="90">
        <v>1350000</v>
      </c>
      <c r="M594" s="93"/>
      <c r="N594" s="90">
        <v>1242000</v>
      </c>
      <c r="O594" s="93"/>
      <c r="P594" s="90">
        <v>732000</v>
      </c>
      <c r="Q594" s="93"/>
      <c r="R594" s="90">
        <v>0</v>
      </c>
    </row>
    <row r="595" spans="1:18" x14ac:dyDescent="0.15">
      <c r="A595" s="86"/>
      <c r="B595" s="86"/>
      <c r="C595" s="52" t="s">
        <v>296</v>
      </c>
      <c r="D595" s="52"/>
      <c r="E595" s="91"/>
      <c r="F595" s="75">
        <f t="shared" si="21"/>
        <v>5140000</v>
      </c>
      <c r="G595" s="92"/>
      <c r="H595" s="90">
        <v>1082000</v>
      </c>
      <c r="I595" s="93"/>
      <c r="J595" s="90">
        <v>4058000</v>
      </c>
      <c r="K595" s="93"/>
      <c r="L595" s="90">
        <v>0</v>
      </c>
      <c r="M595" s="93"/>
      <c r="N595" s="90">
        <v>2890000</v>
      </c>
      <c r="O595" s="93"/>
      <c r="P595" s="90">
        <v>2258000</v>
      </c>
      <c r="Q595" s="93"/>
      <c r="R595" s="90">
        <v>8000</v>
      </c>
    </row>
    <row r="596" spans="1:18" x14ac:dyDescent="0.15">
      <c r="A596" s="86"/>
      <c r="B596" s="86"/>
      <c r="C596" s="52" t="s">
        <v>297</v>
      </c>
      <c r="D596" s="52"/>
      <c r="E596" s="91"/>
      <c r="F596" s="75">
        <f t="shared" si="21"/>
        <v>8327000</v>
      </c>
      <c r="G596" s="92"/>
      <c r="H596" s="90">
        <v>0</v>
      </c>
      <c r="I596" s="93"/>
      <c r="J596" s="90">
        <v>8327000</v>
      </c>
      <c r="K596" s="93"/>
      <c r="L596" s="90">
        <v>0</v>
      </c>
      <c r="M596" s="93"/>
      <c r="N596" s="90">
        <v>0</v>
      </c>
      <c r="O596" s="93"/>
      <c r="P596" s="90">
        <v>8327000</v>
      </c>
      <c r="Q596" s="93"/>
      <c r="R596" s="90">
        <v>0</v>
      </c>
    </row>
    <row r="597" spans="1:18" x14ac:dyDescent="0.15">
      <c r="A597" s="86"/>
      <c r="B597" s="86"/>
      <c r="C597" s="52" t="s">
        <v>298</v>
      </c>
      <c r="D597" s="52"/>
      <c r="E597" s="91"/>
      <c r="F597" s="75">
        <f t="shared" si="21"/>
        <v>3927000</v>
      </c>
      <c r="G597" s="92"/>
      <c r="H597" s="90">
        <v>79000</v>
      </c>
      <c r="I597" s="93"/>
      <c r="J597" s="90">
        <v>31000</v>
      </c>
      <c r="K597" s="93"/>
      <c r="L597" s="90">
        <v>3817000</v>
      </c>
      <c r="M597" s="93"/>
      <c r="N597" s="90">
        <v>2094000</v>
      </c>
      <c r="O597" s="93"/>
      <c r="P597" s="90">
        <v>1833000</v>
      </c>
      <c r="Q597" s="93"/>
      <c r="R597" s="90">
        <v>0</v>
      </c>
    </row>
    <row r="598" spans="1:18" x14ac:dyDescent="0.15">
      <c r="A598" s="86"/>
      <c r="B598" s="86"/>
      <c r="C598" s="52" t="s">
        <v>236</v>
      </c>
      <c r="D598" s="52"/>
      <c r="E598" s="91"/>
      <c r="F598" s="75">
        <f t="shared" si="21"/>
        <v>83250000</v>
      </c>
      <c r="G598" s="92"/>
      <c r="H598" s="90">
        <v>748000</v>
      </c>
      <c r="I598" s="93"/>
      <c r="J598" s="90">
        <v>567000</v>
      </c>
      <c r="K598" s="93"/>
      <c r="L598" s="90">
        <v>81935000</v>
      </c>
      <c r="M598" s="93"/>
      <c r="N598" s="90">
        <v>21495000</v>
      </c>
      <c r="O598" s="93"/>
      <c r="P598" s="90">
        <v>61755000</v>
      </c>
      <c r="Q598" s="93"/>
      <c r="R598" s="90">
        <v>0</v>
      </c>
    </row>
    <row r="599" spans="1:18" x14ac:dyDescent="0.15">
      <c r="A599" s="86"/>
      <c r="B599" s="86"/>
      <c r="C599" s="52" t="s">
        <v>237</v>
      </c>
      <c r="D599" s="52"/>
      <c r="E599" s="91"/>
      <c r="F599" s="75">
        <f t="shared" si="21"/>
        <v>1443000</v>
      </c>
      <c r="G599" s="92"/>
      <c r="H599" s="90">
        <v>-11000</v>
      </c>
      <c r="I599" s="93"/>
      <c r="J599" s="90">
        <v>0</v>
      </c>
      <c r="K599" s="93"/>
      <c r="L599" s="90">
        <v>1454000</v>
      </c>
      <c r="M599" s="93"/>
      <c r="N599" s="90">
        <v>516000</v>
      </c>
      <c r="O599" s="93"/>
      <c r="P599" s="90">
        <v>927000</v>
      </c>
      <c r="Q599" s="93"/>
      <c r="R599" s="90">
        <v>0</v>
      </c>
    </row>
    <row r="600" spans="1:18" x14ac:dyDescent="0.15">
      <c r="C600" s="52" t="s">
        <v>238</v>
      </c>
      <c r="D600" s="52"/>
      <c r="E600" s="91"/>
      <c r="F600" s="75">
        <f t="shared" si="21"/>
        <v>85000</v>
      </c>
      <c r="G600" s="92"/>
      <c r="H600" s="90">
        <v>10000</v>
      </c>
      <c r="I600" s="93"/>
      <c r="J600" s="90">
        <v>16000</v>
      </c>
      <c r="K600" s="93"/>
      <c r="L600" s="90">
        <v>59000</v>
      </c>
      <c r="M600" s="93"/>
      <c r="N600" s="90">
        <v>52000</v>
      </c>
      <c r="O600" s="93"/>
      <c r="P600" s="90">
        <v>33000</v>
      </c>
      <c r="Q600" s="93"/>
      <c r="R600" s="90">
        <v>0</v>
      </c>
    </row>
    <row r="601" spans="1:18" x14ac:dyDescent="0.15">
      <c r="C601" s="52" t="s">
        <v>239</v>
      </c>
      <c r="D601" s="52"/>
      <c r="E601" s="91"/>
      <c r="F601" s="75">
        <f t="shared" si="21"/>
        <v>299000</v>
      </c>
      <c r="G601" s="92"/>
      <c r="H601" s="90">
        <v>32000</v>
      </c>
      <c r="I601" s="93"/>
      <c r="J601" s="90">
        <v>136000</v>
      </c>
      <c r="K601" s="93"/>
      <c r="L601" s="90">
        <v>131000</v>
      </c>
      <c r="M601" s="93"/>
      <c r="N601" s="90">
        <v>189000</v>
      </c>
      <c r="O601" s="93"/>
      <c r="P601" s="90">
        <v>110000</v>
      </c>
      <c r="Q601" s="93"/>
      <c r="R601" s="90">
        <v>0</v>
      </c>
    </row>
    <row r="602" spans="1:18" x14ac:dyDescent="0.15">
      <c r="C602" s="52" t="s">
        <v>510</v>
      </c>
      <c r="D602" s="52"/>
      <c r="E602" s="91"/>
      <c r="F602" s="75">
        <f>SUM(H602:L602)</f>
        <v>111000</v>
      </c>
      <c r="G602" s="92"/>
      <c r="H602" s="90">
        <v>4000</v>
      </c>
      <c r="I602" s="93"/>
      <c r="J602" s="90">
        <v>107000</v>
      </c>
      <c r="K602" s="93"/>
      <c r="L602" s="90">
        <v>0</v>
      </c>
      <c r="M602" s="93"/>
      <c r="N602" s="90">
        <v>51000</v>
      </c>
      <c r="O602" s="93"/>
      <c r="P602" s="90">
        <v>60000</v>
      </c>
      <c r="Q602" s="93"/>
      <c r="R602" s="90">
        <v>0</v>
      </c>
    </row>
    <row r="603" spans="1:18" x14ac:dyDescent="0.15">
      <c r="C603" s="52" t="s">
        <v>511</v>
      </c>
      <c r="D603" s="52"/>
      <c r="E603" s="91"/>
      <c r="F603" s="75">
        <f t="shared" si="21"/>
        <v>1094000</v>
      </c>
      <c r="G603" s="92"/>
      <c r="H603" s="90">
        <v>0</v>
      </c>
      <c r="I603" s="93"/>
      <c r="J603" s="90">
        <v>0</v>
      </c>
      <c r="K603" s="93"/>
      <c r="L603" s="90">
        <v>1094000</v>
      </c>
      <c r="M603" s="93"/>
      <c r="N603" s="90">
        <v>566000</v>
      </c>
      <c r="O603" s="93"/>
      <c r="P603" s="90">
        <v>528000</v>
      </c>
      <c r="Q603" s="93"/>
      <c r="R603" s="90">
        <v>0</v>
      </c>
    </row>
    <row r="604" spans="1:18" x14ac:dyDescent="0.15">
      <c r="C604" s="53" t="s">
        <v>303</v>
      </c>
      <c r="F604" s="75">
        <f t="shared" si="21"/>
        <v>1799000</v>
      </c>
      <c r="G604" s="92"/>
      <c r="H604" s="90">
        <v>44000</v>
      </c>
      <c r="I604" s="93"/>
      <c r="J604" s="90">
        <v>62000</v>
      </c>
      <c r="K604" s="93"/>
      <c r="L604" s="90">
        <v>1693000</v>
      </c>
      <c r="M604" s="93"/>
      <c r="N604" s="90">
        <v>702000</v>
      </c>
      <c r="O604" s="93"/>
      <c r="P604" s="90">
        <v>1097000</v>
      </c>
      <c r="Q604" s="93"/>
      <c r="R604" s="90">
        <v>0</v>
      </c>
    </row>
    <row r="605" spans="1:18" x14ac:dyDescent="0.15">
      <c r="C605" s="52" t="s">
        <v>241</v>
      </c>
      <c r="D605" s="52"/>
      <c r="E605" s="91"/>
      <c r="F605" s="75">
        <f t="shared" si="21"/>
        <v>990000</v>
      </c>
      <c r="G605" s="92"/>
      <c r="H605" s="90">
        <v>74000</v>
      </c>
      <c r="I605" s="93"/>
      <c r="J605" s="90">
        <v>813000</v>
      </c>
      <c r="K605" s="93"/>
      <c r="L605" s="90">
        <v>103000</v>
      </c>
      <c r="M605" s="93"/>
      <c r="N605" s="90">
        <v>610000</v>
      </c>
      <c r="O605" s="93"/>
      <c r="P605" s="90">
        <v>402000</v>
      </c>
      <c r="Q605" s="93"/>
      <c r="R605" s="90">
        <v>22000</v>
      </c>
    </row>
    <row r="606" spans="1:18" x14ac:dyDescent="0.15">
      <c r="B606" s="86"/>
      <c r="C606" s="52" t="s">
        <v>242</v>
      </c>
      <c r="D606" s="52"/>
      <c r="E606" s="53"/>
      <c r="G606" s="69"/>
      <c r="H606" s="90"/>
      <c r="I606" s="90"/>
      <c r="J606" s="90"/>
      <c r="K606" s="90"/>
      <c r="L606" s="90"/>
      <c r="M606" s="90"/>
      <c r="N606" s="90"/>
      <c r="O606" s="90"/>
      <c r="P606" s="90"/>
      <c r="Q606" s="90"/>
      <c r="R606" s="90"/>
    </row>
    <row r="607" spans="1:18" x14ac:dyDescent="0.15">
      <c r="B607" s="86"/>
      <c r="C607" s="52" t="s">
        <v>272</v>
      </c>
      <c r="D607" s="52"/>
      <c r="E607" s="53" t="s">
        <v>243</v>
      </c>
      <c r="F607" s="75">
        <f>SUM(H607:L607)</f>
        <v>306000</v>
      </c>
      <c r="G607" s="92"/>
      <c r="H607" s="90">
        <v>15000</v>
      </c>
      <c r="I607" s="93"/>
      <c r="J607" s="90">
        <v>276000</v>
      </c>
      <c r="K607" s="93"/>
      <c r="L607" s="90">
        <v>15000</v>
      </c>
      <c r="M607" s="93"/>
      <c r="N607" s="90">
        <v>167000</v>
      </c>
      <c r="O607" s="93"/>
      <c r="P607" s="90">
        <v>139000</v>
      </c>
      <c r="Q607" s="93"/>
      <c r="R607" s="90">
        <v>0</v>
      </c>
    </row>
    <row r="608" spans="1:18" x14ac:dyDescent="0.15">
      <c r="C608" s="52" t="s">
        <v>244</v>
      </c>
      <c r="D608" s="52"/>
      <c r="E608" s="91"/>
      <c r="F608" s="94">
        <f>SUM(H608:L608)</f>
        <v>1166000</v>
      </c>
      <c r="G608" s="69"/>
      <c r="H608" s="95">
        <v>77000</v>
      </c>
      <c r="I608" s="90"/>
      <c r="J608" s="95">
        <v>-2800000</v>
      </c>
      <c r="K608" s="90"/>
      <c r="L608" s="95">
        <v>3889000</v>
      </c>
      <c r="M608" s="90"/>
      <c r="N608" s="95">
        <v>1201000</v>
      </c>
      <c r="O608" s="90"/>
      <c r="P608" s="95">
        <v>-35000</v>
      </c>
      <c r="Q608" s="90"/>
      <c r="R608" s="95">
        <v>0</v>
      </c>
    </row>
    <row r="609" spans="1:18" x14ac:dyDescent="0.15"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</row>
    <row r="610" spans="1:18" x14ac:dyDescent="0.15">
      <c r="E610" s="52" t="s">
        <v>3</v>
      </c>
      <c r="F610" s="94">
        <f>SUM(H610:L610)</f>
        <v>232815000</v>
      </c>
      <c r="G610" s="69"/>
      <c r="H610" s="94">
        <f>SUM(H522:H609)</f>
        <v>23776000</v>
      </c>
      <c r="I610" s="75"/>
      <c r="J610" s="94">
        <f>SUM(J522:J609)</f>
        <v>-3924000</v>
      </c>
      <c r="K610" s="75"/>
      <c r="L610" s="94">
        <f>SUM(L522:L609)</f>
        <v>212963000</v>
      </c>
      <c r="M610" s="75"/>
      <c r="N610" s="94">
        <f>SUM(N522:N609)</f>
        <v>95267000</v>
      </c>
      <c r="O610" s="75"/>
      <c r="P610" s="94">
        <f>SUM(P522:P609)</f>
        <v>138794000</v>
      </c>
      <c r="Q610" s="75"/>
      <c r="R610" s="94">
        <f>SUM(R522:R609)</f>
        <v>1246000</v>
      </c>
    </row>
    <row r="611" spans="1:18" x14ac:dyDescent="0.15">
      <c r="A611" s="88"/>
      <c r="B611" s="88"/>
      <c r="C611" s="88"/>
      <c r="D611" s="88"/>
      <c r="E611" s="88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</row>
    <row r="612" spans="1:18" x14ac:dyDescent="0.15">
      <c r="B612" s="53" t="s">
        <v>28</v>
      </c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</row>
    <row r="613" spans="1:18" x14ac:dyDescent="0.15">
      <c r="C613" s="53" t="s">
        <v>304</v>
      </c>
      <c r="F613" s="75">
        <f>SUM(H613:L613)</f>
        <v>8748000</v>
      </c>
      <c r="G613" s="92"/>
      <c r="H613" s="90">
        <v>1888000</v>
      </c>
      <c r="I613" s="93"/>
      <c r="J613" s="90">
        <v>3238000</v>
      </c>
      <c r="K613" s="93"/>
      <c r="L613" s="90">
        <v>3622000</v>
      </c>
      <c r="M613" s="93"/>
      <c r="N613" s="90">
        <v>4110000</v>
      </c>
      <c r="O613" s="93"/>
      <c r="P613" s="90">
        <v>4651000</v>
      </c>
      <c r="Q613" s="93"/>
      <c r="R613" s="90">
        <v>13000</v>
      </c>
    </row>
    <row r="614" spans="1:18" x14ac:dyDescent="0.15">
      <c r="C614" s="53" t="s">
        <v>305</v>
      </c>
      <c r="G614" s="69"/>
    </row>
    <row r="615" spans="1:18" x14ac:dyDescent="0.15">
      <c r="A615" s="86"/>
      <c r="B615" s="86"/>
      <c r="C615" s="86"/>
      <c r="E615" s="52" t="s">
        <v>306</v>
      </c>
      <c r="F615" s="75">
        <f t="shared" ref="F615:F620" si="22">SUM(H615:L615)</f>
        <v>3341000</v>
      </c>
      <c r="G615" s="92"/>
      <c r="H615" s="90">
        <v>1897000</v>
      </c>
      <c r="I615" s="93"/>
      <c r="J615" s="90">
        <v>764000</v>
      </c>
      <c r="K615" s="93"/>
      <c r="L615" s="90">
        <v>680000</v>
      </c>
      <c r="M615" s="93"/>
      <c r="N615" s="90">
        <v>1745000</v>
      </c>
      <c r="O615" s="93"/>
      <c r="P615" s="90">
        <v>1596000</v>
      </c>
      <c r="Q615" s="93"/>
      <c r="R615" s="90">
        <v>0</v>
      </c>
    </row>
    <row r="616" spans="1:18" x14ac:dyDescent="0.15">
      <c r="A616" s="86"/>
      <c r="B616" s="86"/>
      <c r="C616" s="52" t="s">
        <v>307</v>
      </c>
      <c r="D616" s="52"/>
      <c r="E616" s="91"/>
      <c r="F616" s="75">
        <f t="shared" si="22"/>
        <v>7534000</v>
      </c>
      <c r="G616" s="92"/>
      <c r="H616" s="90">
        <v>28000</v>
      </c>
      <c r="I616" s="93"/>
      <c r="J616" s="90">
        <v>2693000</v>
      </c>
      <c r="K616" s="93"/>
      <c r="L616" s="90">
        <v>4813000</v>
      </c>
      <c r="M616" s="93"/>
      <c r="N616" s="90">
        <v>3702000</v>
      </c>
      <c r="O616" s="93"/>
      <c r="P616" s="90">
        <v>3832000</v>
      </c>
      <c r="Q616" s="93"/>
      <c r="R616" s="90">
        <v>0</v>
      </c>
    </row>
    <row r="617" spans="1:18" x14ac:dyDescent="0.15">
      <c r="A617" s="86"/>
      <c r="B617" s="86"/>
      <c r="C617" s="52" t="s">
        <v>211</v>
      </c>
      <c r="D617" s="52"/>
      <c r="E617" s="91"/>
      <c r="F617" s="75">
        <f t="shared" si="22"/>
        <v>13000</v>
      </c>
      <c r="G617" s="92"/>
      <c r="H617" s="90">
        <v>0</v>
      </c>
      <c r="I617" s="93"/>
      <c r="J617" s="90">
        <v>0</v>
      </c>
      <c r="K617" s="93"/>
      <c r="L617" s="90">
        <v>13000</v>
      </c>
      <c r="M617" s="93"/>
      <c r="N617" s="90">
        <v>11000</v>
      </c>
      <c r="O617" s="93"/>
      <c r="P617" s="90">
        <v>2000</v>
      </c>
      <c r="Q617" s="93"/>
      <c r="R617" s="90">
        <v>0</v>
      </c>
    </row>
    <row r="618" spans="1:18" x14ac:dyDescent="0.15">
      <c r="A618" s="86"/>
      <c r="B618" s="86"/>
      <c r="C618" s="52" t="s">
        <v>308</v>
      </c>
      <c r="D618" s="52"/>
      <c r="E618" s="91"/>
      <c r="F618" s="75">
        <f t="shared" si="22"/>
        <v>164000</v>
      </c>
      <c r="G618" s="92"/>
      <c r="H618" s="90">
        <v>55000</v>
      </c>
      <c r="I618" s="93"/>
      <c r="J618" s="90">
        <v>64000</v>
      </c>
      <c r="K618" s="93"/>
      <c r="L618" s="90">
        <v>45000</v>
      </c>
      <c r="M618" s="93"/>
      <c r="N618" s="90">
        <v>102000</v>
      </c>
      <c r="O618" s="93"/>
      <c r="P618" s="90">
        <v>62000</v>
      </c>
      <c r="Q618" s="93"/>
      <c r="R618" s="90">
        <v>0</v>
      </c>
    </row>
    <row r="619" spans="1:18" x14ac:dyDescent="0.15">
      <c r="A619" s="86"/>
      <c r="B619" s="86"/>
      <c r="C619" s="52" t="s">
        <v>309</v>
      </c>
      <c r="D619" s="52"/>
      <c r="E619" s="91"/>
      <c r="F619" s="75">
        <f t="shared" si="22"/>
        <v>13596000</v>
      </c>
      <c r="G619" s="92"/>
      <c r="H619" s="90">
        <v>173000</v>
      </c>
      <c r="I619" s="93"/>
      <c r="J619" s="90">
        <v>8521000</v>
      </c>
      <c r="K619" s="93"/>
      <c r="L619" s="90">
        <v>4902000</v>
      </c>
      <c r="M619" s="93"/>
      <c r="N619" s="90">
        <v>4997000</v>
      </c>
      <c r="O619" s="93"/>
      <c r="P619" s="90">
        <v>9921000</v>
      </c>
      <c r="Q619" s="93"/>
      <c r="R619" s="90">
        <v>1322000</v>
      </c>
    </row>
    <row r="620" spans="1:18" x14ac:dyDescent="0.15">
      <c r="A620" s="86"/>
      <c r="B620" s="86"/>
      <c r="C620" s="52" t="s">
        <v>310</v>
      </c>
      <c r="D620" s="52"/>
      <c r="E620" s="91"/>
      <c r="F620" s="75">
        <f t="shared" si="22"/>
        <v>1372000</v>
      </c>
      <c r="G620" s="92"/>
      <c r="H620" s="90">
        <v>65000</v>
      </c>
      <c r="I620" s="93"/>
      <c r="J620" s="90">
        <v>686000</v>
      </c>
      <c r="K620" s="93"/>
      <c r="L620" s="90">
        <v>621000</v>
      </c>
      <c r="M620" s="93"/>
      <c r="N620" s="90">
        <v>1018000</v>
      </c>
      <c r="O620" s="93"/>
      <c r="P620" s="90">
        <v>354000</v>
      </c>
      <c r="Q620" s="93"/>
      <c r="R620" s="90">
        <v>0</v>
      </c>
    </row>
    <row r="621" spans="1:18" x14ac:dyDescent="0.15">
      <c r="A621" s="86"/>
      <c r="B621" s="86"/>
      <c r="C621" s="52" t="s">
        <v>311</v>
      </c>
      <c r="D621" s="52"/>
      <c r="E621" s="91"/>
      <c r="G621" s="69"/>
      <c r="H621" s="90"/>
      <c r="I621" s="90"/>
      <c r="J621" s="90"/>
      <c r="K621" s="90"/>
      <c r="L621" s="90"/>
      <c r="M621" s="90"/>
      <c r="N621" s="90"/>
      <c r="O621" s="90"/>
      <c r="P621" s="90"/>
      <c r="Q621" s="90"/>
      <c r="R621" s="90"/>
    </row>
    <row r="622" spans="1:18" x14ac:dyDescent="0.15">
      <c r="A622" s="86"/>
      <c r="B622" s="86"/>
      <c r="C622" s="86"/>
      <c r="D622" s="52"/>
      <c r="E622" s="91" t="s">
        <v>312</v>
      </c>
      <c r="F622" s="75">
        <f>SUM(H622:L622)</f>
        <v>3000</v>
      </c>
      <c r="G622" s="92"/>
      <c r="H622" s="90">
        <v>2000</v>
      </c>
      <c r="I622" s="93"/>
      <c r="J622" s="90">
        <v>0</v>
      </c>
      <c r="K622" s="93"/>
      <c r="L622" s="90">
        <v>1000</v>
      </c>
      <c r="M622" s="93"/>
      <c r="N622" s="90">
        <v>3000</v>
      </c>
      <c r="O622" s="93"/>
      <c r="P622" s="90">
        <v>0</v>
      </c>
      <c r="Q622" s="93"/>
      <c r="R622" s="90">
        <v>0</v>
      </c>
    </row>
    <row r="623" spans="1:18" x14ac:dyDescent="0.15">
      <c r="A623" s="86"/>
      <c r="B623" s="86"/>
      <c r="C623" s="53" t="s">
        <v>275</v>
      </c>
      <c r="F623" s="75">
        <f>SUM(H623:L623)</f>
        <v>68000</v>
      </c>
      <c r="G623" s="92"/>
      <c r="H623" s="90">
        <v>0</v>
      </c>
      <c r="I623" s="93"/>
      <c r="J623" s="90">
        <v>0</v>
      </c>
      <c r="K623" s="93"/>
      <c r="L623" s="90">
        <v>68000</v>
      </c>
      <c r="M623" s="93"/>
      <c r="N623" s="90">
        <v>45000</v>
      </c>
      <c r="O623" s="93"/>
      <c r="P623" s="90">
        <v>23000</v>
      </c>
      <c r="Q623" s="93"/>
      <c r="R623" s="90">
        <v>0</v>
      </c>
    </row>
    <row r="624" spans="1:18" x14ac:dyDescent="0.15">
      <c r="A624" s="86"/>
      <c r="B624" s="86"/>
      <c r="C624" s="52" t="s">
        <v>222</v>
      </c>
      <c r="D624" s="52"/>
      <c r="E624" s="91"/>
      <c r="G624" s="69"/>
      <c r="I624" s="90"/>
      <c r="K624" s="90"/>
      <c r="M624" s="90"/>
      <c r="O624" s="90"/>
      <c r="Q624" s="90"/>
    </row>
    <row r="625" spans="1:18" ht="12" customHeight="1" x14ac:dyDescent="0.15">
      <c r="A625" s="86"/>
      <c r="B625" s="86"/>
      <c r="C625" s="52"/>
      <c r="D625" s="52"/>
      <c r="E625" s="91" t="s">
        <v>51</v>
      </c>
      <c r="F625" s="75">
        <f>SUM(H625:L625)</f>
        <v>115000</v>
      </c>
      <c r="G625" s="92"/>
      <c r="H625" s="90">
        <v>0</v>
      </c>
      <c r="I625" s="93"/>
      <c r="J625" s="90">
        <v>88000</v>
      </c>
      <c r="K625" s="93"/>
      <c r="L625" s="90">
        <v>27000</v>
      </c>
      <c r="M625" s="93"/>
      <c r="N625" s="90">
        <v>0</v>
      </c>
      <c r="O625" s="93"/>
      <c r="P625" s="90">
        <v>115000</v>
      </c>
      <c r="Q625" s="93"/>
      <c r="R625" s="90">
        <v>0</v>
      </c>
    </row>
    <row r="626" spans="1:18" x14ac:dyDescent="0.15">
      <c r="A626" s="86"/>
      <c r="B626" s="86"/>
      <c r="C626" s="52" t="s">
        <v>286</v>
      </c>
      <c r="D626" s="52"/>
      <c r="E626" s="91"/>
      <c r="F626" s="75">
        <f>SUM(H626:L626)</f>
        <v>127000</v>
      </c>
      <c r="G626" s="92"/>
      <c r="H626" s="90">
        <v>0</v>
      </c>
      <c r="I626" s="93"/>
      <c r="J626" s="90">
        <v>97000</v>
      </c>
      <c r="K626" s="93"/>
      <c r="L626" s="90">
        <v>30000</v>
      </c>
      <c r="M626" s="93"/>
      <c r="N626" s="90">
        <v>76000</v>
      </c>
      <c r="O626" s="93"/>
      <c r="P626" s="90">
        <v>51000</v>
      </c>
      <c r="Q626" s="93"/>
      <c r="R626" s="90">
        <v>0</v>
      </c>
    </row>
    <row r="627" spans="1:18" x14ac:dyDescent="0.15">
      <c r="A627" s="86"/>
      <c r="B627" s="86"/>
      <c r="C627" s="52" t="s">
        <v>287</v>
      </c>
      <c r="D627" s="52"/>
      <c r="E627" s="91"/>
      <c r="G627" s="69"/>
      <c r="H627" s="90"/>
      <c r="I627" s="90"/>
      <c r="J627" s="90"/>
      <c r="K627" s="90"/>
      <c r="L627" s="90"/>
      <c r="M627" s="90"/>
      <c r="N627" s="90"/>
      <c r="O627" s="90"/>
      <c r="P627" s="90"/>
      <c r="Q627" s="90"/>
      <c r="R627" s="90"/>
    </row>
    <row r="628" spans="1:18" x14ac:dyDescent="0.15">
      <c r="A628" s="86"/>
      <c r="B628" s="86"/>
      <c r="C628" s="52"/>
      <c r="D628" s="52"/>
      <c r="E628" s="91" t="s">
        <v>288</v>
      </c>
      <c r="F628" s="75">
        <f>SUM(H628:L628)</f>
        <v>1394000</v>
      </c>
      <c r="G628" s="92"/>
      <c r="H628" s="90">
        <v>0</v>
      </c>
      <c r="I628" s="93"/>
      <c r="J628" s="90">
        <v>480000</v>
      </c>
      <c r="K628" s="93"/>
      <c r="L628" s="90">
        <v>914000</v>
      </c>
      <c r="M628" s="93"/>
      <c r="N628" s="90">
        <v>519000</v>
      </c>
      <c r="O628" s="93"/>
      <c r="P628" s="90">
        <v>875000</v>
      </c>
      <c r="Q628" s="93"/>
      <c r="R628" s="90">
        <v>0</v>
      </c>
    </row>
    <row r="629" spans="1:18" x14ac:dyDescent="0.15">
      <c r="C629" s="53" t="s">
        <v>228</v>
      </c>
      <c r="D629" s="52"/>
      <c r="E629" s="91"/>
      <c r="F629" s="75">
        <f>SUM(H629:L629)</f>
        <v>1457000</v>
      </c>
      <c r="G629" s="92"/>
      <c r="H629" s="90">
        <v>0</v>
      </c>
      <c r="I629" s="93"/>
      <c r="J629" s="90">
        <v>810000</v>
      </c>
      <c r="K629" s="93"/>
      <c r="L629" s="90">
        <v>647000</v>
      </c>
      <c r="M629" s="93"/>
      <c r="N629" s="90">
        <v>702000</v>
      </c>
      <c r="O629" s="93"/>
      <c r="P629" s="90">
        <v>755000</v>
      </c>
      <c r="Q629" s="93"/>
      <c r="R629" s="90">
        <v>0</v>
      </c>
    </row>
    <row r="630" spans="1:18" x14ac:dyDescent="0.15">
      <c r="C630" s="52" t="s">
        <v>231</v>
      </c>
      <c r="D630" s="52"/>
      <c r="E630" s="91"/>
      <c r="F630" s="75">
        <f t="shared" ref="F630:F639" si="23">SUM(H630:L630)</f>
        <v>22389000</v>
      </c>
      <c r="G630" s="92"/>
      <c r="H630" s="90">
        <v>1046000</v>
      </c>
      <c r="I630" s="93"/>
      <c r="J630" s="90">
        <v>14111000</v>
      </c>
      <c r="K630" s="93"/>
      <c r="L630" s="90">
        <v>7232000</v>
      </c>
      <c r="M630" s="93"/>
      <c r="N630" s="90">
        <v>13342000</v>
      </c>
      <c r="O630" s="93"/>
      <c r="P630" s="90">
        <v>9047000</v>
      </c>
      <c r="Q630" s="93"/>
      <c r="R630" s="90">
        <v>0</v>
      </c>
    </row>
    <row r="631" spans="1:18" x14ac:dyDescent="0.15">
      <c r="C631" s="52" t="s">
        <v>314</v>
      </c>
      <c r="D631" s="52"/>
      <c r="E631" s="91"/>
      <c r="F631" s="75">
        <f t="shared" si="23"/>
        <v>-104000</v>
      </c>
      <c r="G631" s="92"/>
      <c r="H631" s="90">
        <v>0</v>
      </c>
      <c r="I631" s="93"/>
      <c r="J631" s="90">
        <v>-104000</v>
      </c>
      <c r="K631" s="93"/>
      <c r="L631" s="90">
        <v>0</v>
      </c>
      <c r="M631" s="93"/>
      <c r="N631" s="90">
        <v>0</v>
      </c>
      <c r="O631" s="93"/>
      <c r="P631" s="90">
        <v>0</v>
      </c>
      <c r="Q631" s="93"/>
      <c r="R631" s="90">
        <v>104000</v>
      </c>
    </row>
    <row r="632" spans="1:18" x14ac:dyDescent="0.15">
      <c r="C632" s="52" t="s">
        <v>315</v>
      </c>
      <c r="D632" s="52"/>
      <c r="E632" s="91"/>
      <c r="F632" s="75">
        <f t="shared" si="23"/>
        <v>150000</v>
      </c>
      <c r="G632" s="92"/>
      <c r="H632" s="90">
        <v>0</v>
      </c>
      <c r="I632" s="93"/>
      <c r="J632" s="90">
        <v>0</v>
      </c>
      <c r="K632" s="93"/>
      <c r="L632" s="90">
        <v>150000</v>
      </c>
      <c r="M632" s="93"/>
      <c r="N632" s="90">
        <v>71000</v>
      </c>
      <c r="O632" s="93"/>
      <c r="P632" s="90">
        <v>79000</v>
      </c>
      <c r="Q632" s="93"/>
      <c r="R632" s="90">
        <v>0</v>
      </c>
    </row>
    <row r="633" spans="1:18" x14ac:dyDescent="0.15">
      <c r="C633" s="52" t="s">
        <v>233</v>
      </c>
      <c r="D633" s="52"/>
      <c r="E633" s="91"/>
      <c r="F633" s="75">
        <f t="shared" si="23"/>
        <v>4000</v>
      </c>
      <c r="G633" s="92"/>
      <c r="H633" s="90">
        <v>0</v>
      </c>
      <c r="I633" s="93"/>
      <c r="J633" s="90">
        <v>0</v>
      </c>
      <c r="K633" s="93"/>
      <c r="L633" s="90">
        <v>4000</v>
      </c>
      <c r="M633" s="93"/>
      <c r="N633" s="90">
        <v>3000</v>
      </c>
      <c r="O633" s="93"/>
      <c r="P633" s="90">
        <v>1000</v>
      </c>
      <c r="Q633" s="93"/>
      <c r="R633" s="90">
        <v>0</v>
      </c>
    </row>
    <row r="634" spans="1:18" x14ac:dyDescent="0.15">
      <c r="C634" s="52" t="s">
        <v>316</v>
      </c>
      <c r="D634" s="52"/>
      <c r="E634" s="91"/>
      <c r="F634" s="75">
        <f>SUM(H634:L634)</f>
        <v>822000</v>
      </c>
      <c r="G634" s="92"/>
      <c r="H634" s="90">
        <v>0</v>
      </c>
      <c r="I634" s="93"/>
      <c r="J634" s="90">
        <v>625000</v>
      </c>
      <c r="K634" s="93"/>
      <c r="L634" s="90">
        <v>197000</v>
      </c>
      <c r="M634" s="93"/>
      <c r="N634" s="90">
        <v>508000</v>
      </c>
      <c r="O634" s="93"/>
      <c r="P634" s="90">
        <v>314000</v>
      </c>
      <c r="Q634" s="93"/>
      <c r="R634" s="90">
        <v>0</v>
      </c>
    </row>
    <row r="635" spans="1:18" x14ac:dyDescent="0.15">
      <c r="C635" s="52" t="s">
        <v>234</v>
      </c>
      <c r="D635" s="52"/>
      <c r="E635" s="91"/>
      <c r="F635" s="75">
        <f t="shared" si="23"/>
        <v>-5327000</v>
      </c>
      <c r="G635" s="92"/>
      <c r="H635" s="90">
        <v>-5995000</v>
      </c>
      <c r="I635" s="93"/>
      <c r="J635" s="90">
        <v>196000</v>
      </c>
      <c r="K635" s="93"/>
      <c r="L635" s="90">
        <v>472000</v>
      </c>
      <c r="M635" s="93"/>
      <c r="N635" s="90">
        <v>542000</v>
      </c>
      <c r="O635" s="93"/>
      <c r="P635" s="90">
        <v>-5869000</v>
      </c>
      <c r="Q635" s="93"/>
      <c r="R635" s="90">
        <v>0</v>
      </c>
    </row>
    <row r="636" spans="1:18" x14ac:dyDescent="0.15">
      <c r="C636" s="52" t="s">
        <v>236</v>
      </c>
      <c r="D636" s="52"/>
      <c r="E636" s="91"/>
      <c r="F636" s="75">
        <f t="shared" si="23"/>
        <v>1414000</v>
      </c>
      <c r="G636" s="92"/>
      <c r="H636" s="90">
        <v>0</v>
      </c>
      <c r="I636" s="93"/>
      <c r="J636" s="90">
        <v>0</v>
      </c>
      <c r="K636" s="93"/>
      <c r="L636" s="90">
        <v>1414000</v>
      </c>
      <c r="M636" s="93"/>
      <c r="N636" s="90">
        <v>657000</v>
      </c>
      <c r="O636" s="93"/>
      <c r="P636" s="90">
        <v>757000</v>
      </c>
      <c r="Q636" s="93"/>
      <c r="R636" s="90">
        <v>0</v>
      </c>
    </row>
    <row r="637" spans="1:18" x14ac:dyDescent="0.15">
      <c r="C637" s="52" t="s">
        <v>318</v>
      </c>
      <c r="D637" s="52"/>
      <c r="E637" s="91"/>
      <c r="F637" s="75">
        <f t="shared" si="23"/>
        <v>819000</v>
      </c>
      <c r="G637" s="92"/>
      <c r="H637" s="90">
        <v>0</v>
      </c>
      <c r="I637" s="93"/>
      <c r="J637" s="90">
        <v>603000</v>
      </c>
      <c r="K637" s="93"/>
      <c r="L637" s="90">
        <v>216000</v>
      </c>
      <c r="M637" s="93"/>
      <c r="N637" s="90">
        <v>411000</v>
      </c>
      <c r="O637" s="93"/>
      <c r="P637" s="90">
        <v>408000</v>
      </c>
      <c r="Q637" s="93"/>
      <c r="R637" s="90">
        <v>0</v>
      </c>
    </row>
    <row r="638" spans="1:18" x14ac:dyDescent="0.15">
      <c r="C638" s="52" t="s">
        <v>240</v>
      </c>
      <c r="D638" s="52"/>
      <c r="E638" s="91"/>
      <c r="F638" s="75">
        <f t="shared" si="23"/>
        <v>179000</v>
      </c>
      <c r="G638" s="92"/>
      <c r="H638" s="90">
        <v>0</v>
      </c>
      <c r="I638" s="93"/>
      <c r="J638" s="90">
        <v>179000</v>
      </c>
      <c r="K638" s="93"/>
      <c r="L638" s="90">
        <v>0</v>
      </c>
      <c r="M638" s="93"/>
      <c r="N638" s="90">
        <v>62000</v>
      </c>
      <c r="O638" s="93"/>
      <c r="P638" s="90">
        <v>119000</v>
      </c>
      <c r="Q638" s="93"/>
      <c r="R638" s="90">
        <v>2000</v>
      </c>
    </row>
    <row r="639" spans="1:18" x14ac:dyDescent="0.15">
      <c r="A639" s="53" t="s">
        <v>22</v>
      </c>
      <c r="C639" s="52" t="s">
        <v>319</v>
      </c>
      <c r="F639" s="75">
        <f t="shared" si="23"/>
        <v>408000</v>
      </c>
      <c r="G639" s="92"/>
      <c r="H639" s="90">
        <v>0</v>
      </c>
      <c r="I639" s="93"/>
      <c r="J639" s="90">
        <v>122000</v>
      </c>
      <c r="K639" s="93"/>
      <c r="L639" s="90">
        <v>286000</v>
      </c>
      <c r="M639" s="93"/>
      <c r="N639" s="90">
        <v>0</v>
      </c>
      <c r="O639" s="93"/>
      <c r="P639" s="90">
        <v>408000</v>
      </c>
      <c r="Q639" s="93"/>
      <c r="R639" s="90">
        <v>0</v>
      </c>
    </row>
    <row r="640" spans="1:18" x14ac:dyDescent="0.15">
      <c r="C640" s="52" t="s">
        <v>244</v>
      </c>
      <c r="D640" s="52"/>
      <c r="E640" s="91"/>
      <c r="F640" s="94">
        <f>SUM(H640:L640)</f>
        <v>402000</v>
      </c>
      <c r="G640" s="69"/>
      <c r="H640" s="95">
        <v>72000</v>
      </c>
      <c r="I640" s="90"/>
      <c r="J640" s="95">
        <v>14000</v>
      </c>
      <c r="K640" s="90"/>
      <c r="L640" s="95">
        <v>316000</v>
      </c>
      <c r="M640" s="90"/>
      <c r="N640" s="95">
        <v>402000</v>
      </c>
      <c r="O640" s="90"/>
      <c r="P640" s="95">
        <v>0</v>
      </c>
      <c r="Q640" s="90"/>
      <c r="R640" s="95">
        <v>0</v>
      </c>
    </row>
    <row r="641" spans="1:18" x14ac:dyDescent="0.15">
      <c r="B641" s="7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</row>
    <row r="642" spans="1:18" x14ac:dyDescent="0.15">
      <c r="E642" s="52" t="s">
        <v>3</v>
      </c>
      <c r="F642" s="94">
        <f>SUM(H642:L642)</f>
        <v>59088000</v>
      </c>
      <c r="G642" s="69"/>
      <c r="H642" s="94">
        <f>SUM(H613:H641)</f>
        <v>-769000</v>
      </c>
      <c r="I642" s="75"/>
      <c r="J642" s="94">
        <f>SUM(J613:J641)</f>
        <v>33187000</v>
      </c>
      <c r="K642" s="75"/>
      <c r="L642" s="94">
        <f>SUM(L613:L641)</f>
        <v>26670000</v>
      </c>
      <c r="M642" s="75"/>
      <c r="N642" s="94">
        <f>SUM(N613:N641)</f>
        <v>33028000</v>
      </c>
      <c r="O642" s="75"/>
      <c r="P642" s="94">
        <f>SUM(P613:P641)</f>
        <v>27501000</v>
      </c>
      <c r="Q642" s="75"/>
      <c r="R642" s="94">
        <f>SUM(R613:R641)</f>
        <v>1441000</v>
      </c>
    </row>
    <row r="643" spans="1:18" x14ac:dyDescent="0.15">
      <c r="A643" s="88"/>
      <c r="B643" s="88"/>
      <c r="C643" s="88"/>
      <c r="D643" s="88"/>
      <c r="E643" s="88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</row>
    <row r="644" spans="1:18" x14ac:dyDescent="0.15">
      <c r="B644" s="53" t="s">
        <v>29</v>
      </c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</row>
    <row r="645" spans="1:18" x14ac:dyDescent="0.15">
      <c r="C645" s="52" t="s">
        <v>320</v>
      </c>
      <c r="D645" s="52"/>
      <c r="E645" s="91"/>
      <c r="F645" s="75">
        <f>SUM(H645:L645)</f>
        <v>49000</v>
      </c>
      <c r="G645" s="92"/>
      <c r="H645" s="90">
        <v>49000</v>
      </c>
      <c r="I645" s="93"/>
      <c r="J645" s="90">
        <v>0</v>
      </c>
      <c r="K645" s="93"/>
      <c r="L645" s="90">
        <v>0</v>
      </c>
      <c r="M645" s="93"/>
      <c r="N645" s="90">
        <v>43000</v>
      </c>
      <c r="O645" s="93"/>
      <c r="P645" s="90">
        <v>6000</v>
      </c>
      <c r="Q645" s="93"/>
      <c r="R645" s="90">
        <v>0</v>
      </c>
    </row>
    <row r="646" spans="1:18" x14ac:dyDescent="0.15">
      <c r="C646" s="52" t="s">
        <v>307</v>
      </c>
      <c r="D646" s="52"/>
      <c r="E646" s="91"/>
      <c r="F646" s="75">
        <f>SUM(H646:L646)</f>
        <v>319000</v>
      </c>
      <c r="G646" s="92"/>
      <c r="H646" s="90">
        <v>319000</v>
      </c>
      <c r="I646" s="93"/>
      <c r="J646" s="90">
        <v>0</v>
      </c>
      <c r="K646" s="93"/>
      <c r="L646" s="90">
        <v>0</v>
      </c>
      <c r="M646" s="93"/>
      <c r="N646" s="90">
        <v>223000</v>
      </c>
      <c r="O646" s="93"/>
      <c r="P646" s="90">
        <v>96000</v>
      </c>
      <c r="Q646" s="93"/>
      <c r="R646" s="90">
        <v>0</v>
      </c>
    </row>
    <row r="647" spans="1:18" x14ac:dyDescent="0.15">
      <c r="C647" s="52" t="s">
        <v>322</v>
      </c>
      <c r="D647" s="52"/>
      <c r="E647" s="91"/>
      <c r="F647" s="75">
        <f>SUM(H647:L647)</f>
        <v>321000</v>
      </c>
      <c r="G647" s="92"/>
      <c r="H647" s="90">
        <v>216000</v>
      </c>
      <c r="I647" s="93"/>
      <c r="J647" s="90">
        <v>105000</v>
      </c>
      <c r="K647" s="93"/>
      <c r="L647" s="90">
        <v>0</v>
      </c>
      <c r="M647" s="93"/>
      <c r="N647" s="90">
        <v>233000</v>
      </c>
      <c r="O647" s="93"/>
      <c r="P647" s="90">
        <v>88000</v>
      </c>
      <c r="Q647" s="93"/>
      <c r="R647" s="90">
        <v>0</v>
      </c>
    </row>
    <row r="648" spans="1:18" x14ac:dyDescent="0.15">
      <c r="C648" s="52" t="s">
        <v>323</v>
      </c>
      <c r="D648" s="52"/>
      <c r="E648" s="91"/>
      <c r="F648" s="75">
        <f>SUM(H648:L648)</f>
        <v>3774000</v>
      </c>
      <c r="G648" s="92"/>
      <c r="H648" s="90">
        <v>2496000</v>
      </c>
      <c r="I648" s="93"/>
      <c r="J648" s="90">
        <v>1278000</v>
      </c>
      <c r="K648" s="93"/>
      <c r="L648" s="90">
        <v>0</v>
      </c>
      <c r="M648" s="93"/>
      <c r="N648" s="90">
        <v>3020000</v>
      </c>
      <c r="O648" s="93"/>
      <c r="P648" s="90">
        <v>2082000</v>
      </c>
      <c r="Q648" s="93"/>
      <c r="R648" s="90">
        <v>1328000</v>
      </c>
    </row>
    <row r="649" spans="1:18" x14ac:dyDescent="0.15">
      <c r="C649" s="52" t="s">
        <v>324</v>
      </c>
      <c r="D649" s="52"/>
      <c r="E649" s="91"/>
    </row>
    <row r="650" spans="1:18" x14ac:dyDescent="0.15">
      <c r="C650" s="52"/>
      <c r="D650" s="52"/>
      <c r="E650" s="91" t="s">
        <v>51</v>
      </c>
      <c r="F650" s="75">
        <f>SUM(H650:L650)</f>
        <v>663000</v>
      </c>
      <c r="G650" s="92"/>
      <c r="H650" s="90">
        <v>117000</v>
      </c>
      <c r="I650" s="93"/>
      <c r="J650" s="90">
        <v>531000</v>
      </c>
      <c r="K650" s="93"/>
      <c r="L650" s="90">
        <v>15000</v>
      </c>
      <c r="M650" s="93"/>
      <c r="N650" s="90">
        <v>765000</v>
      </c>
      <c r="O650" s="93"/>
      <c r="P650" s="90">
        <v>3442000</v>
      </c>
      <c r="Q650" s="93"/>
      <c r="R650" s="90">
        <v>3544000</v>
      </c>
    </row>
    <row r="651" spans="1:18" x14ac:dyDescent="0.15">
      <c r="C651" s="52" t="s">
        <v>325</v>
      </c>
      <c r="D651" s="52"/>
      <c r="E651" s="91"/>
      <c r="F651" s="75">
        <f>SUM(H651:L651)</f>
        <v>397000</v>
      </c>
      <c r="G651" s="92"/>
      <c r="H651" s="90">
        <v>148000</v>
      </c>
      <c r="I651" s="93"/>
      <c r="J651" s="90">
        <v>247000</v>
      </c>
      <c r="K651" s="93"/>
      <c r="L651" s="90">
        <v>2000</v>
      </c>
      <c r="M651" s="93"/>
      <c r="N651" s="90">
        <v>252000</v>
      </c>
      <c r="O651" s="93"/>
      <c r="P651" s="90">
        <v>145000</v>
      </c>
      <c r="Q651" s="93"/>
      <c r="R651" s="90">
        <v>0</v>
      </c>
    </row>
    <row r="652" spans="1:18" x14ac:dyDescent="0.15">
      <c r="C652" s="52" t="s">
        <v>216</v>
      </c>
      <c r="D652" s="52"/>
      <c r="E652" s="91"/>
      <c r="F652" s="75">
        <f t="shared" ref="F652" si="24">SUM(H652:L652)</f>
        <v>429000</v>
      </c>
      <c r="G652" s="92"/>
      <c r="H652" s="90">
        <v>176000</v>
      </c>
      <c r="I652" s="93"/>
      <c r="J652" s="90">
        <v>253000</v>
      </c>
      <c r="K652" s="93"/>
      <c r="L652" s="90">
        <v>0</v>
      </c>
      <c r="M652" s="93"/>
      <c r="N652" s="90">
        <v>304000</v>
      </c>
      <c r="O652" s="93"/>
      <c r="P652" s="90">
        <v>125000</v>
      </c>
      <c r="Q652" s="93"/>
      <c r="R652" s="90">
        <v>0</v>
      </c>
    </row>
    <row r="653" spans="1:18" x14ac:dyDescent="0.15">
      <c r="C653" s="52" t="s">
        <v>326</v>
      </c>
      <c r="D653" s="52"/>
      <c r="E653" s="91"/>
      <c r="F653" s="75">
        <f>SUM(H653:L653)</f>
        <v>768000</v>
      </c>
      <c r="G653" s="92"/>
      <c r="H653" s="90">
        <v>452000</v>
      </c>
      <c r="I653" s="93"/>
      <c r="J653" s="90">
        <v>316000</v>
      </c>
      <c r="K653" s="93"/>
      <c r="L653" s="90">
        <v>0</v>
      </c>
      <c r="M653" s="93"/>
      <c r="N653" s="90">
        <v>3658000</v>
      </c>
      <c r="O653" s="93"/>
      <c r="P653" s="90">
        <v>7067000</v>
      </c>
      <c r="Q653" s="93"/>
      <c r="R653" s="90">
        <v>9957000</v>
      </c>
    </row>
    <row r="654" spans="1:18" x14ac:dyDescent="0.15">
      <c r="C654" s="52" t="s">
        <v>327</v>
      </c>
      <c r="D654" s="52"/>
      <c r="E654" s="91"/>
      <c r="F654" s="75">
        <f>SUM(H654:L654)</f>
        <v>8811000</v>
      </c>
      <c r="G654" s="92"/>
      <c r="H654" s="90">
        <v>786000</v>
      </c>
      <c r="I654" s="93"/>
      <c r="J654" s="90">
        <v>8025000</v>
      </c>
      <c r="K654" s="93"/>
      <c r="L654" s="90">
        <v>0</v>
      </c>
      <c r="M654" s="93"/>
      <c r="N654" s="90">
        <v>3147000</v>
      </c>
      <c r="O654" s="93"/>
      <c r="P654" s="90">
        <v>15188000</v>
      </c>
      <c r="Q654" s="93"/>
      <c r="R654" s="90">
        <v>9524000</v>
      </c>
    </row>
    <row r="655" spans="1:18" x14ac:dyDescent="0.15">
      <c r="A655" s="53" t="s">
        <v>22</v>
      </c>
      <c r="C655" s="52" t="s">
        <v>328</v>
      </c>
      <c r="D655" s="52"/>
      <c r="E655" s="91"/>
      <c r="G655" s="69"/>
      <c r="H655" s="90"/>
      <c r="I655" s="90"/>
      <c r="J655" s="90"/>
      <c r="K655" s="90"/>
      <c r="L655" s="90"/>
      <c r="M655" s="90"/>
      <c r="N655" s="90"/>
      <c r="O655" s="90"/>
      <c r="P655" s="90"/>
      <c r="Q655" s="90"/>
      <c r="R655" s="90"/>
    </row>
    <row r="656" spans="1:18" x14ac:dyDescent="0.15">
      <c r="A656" s="86"/>
      <c r="C656" s="86"/>
      <c r="D656" s="52"/>
      <c r="E656" s="91" t="s">
        <v>329</v>
      </c>
      <c r="F656" s="75">
        <f>SUM(H656:L656)</f>
        <v>1985000</v>
      </c>
      <c r="G656" s="92"/>
      <c r="H656" s="90">
        <v>497000</v>
      </c>
      <c r="I656" s="93"/>
      <c r="J656" s="90">
        <v>1445000</v>
      </c>
      <c r="K656" s="93"/>
      <c r="L656" s="90">
        <v>43000</v>
      </c>
      <c r="M656" s="93"/>
      <c r="N656" s="90">
        <v>985000</v>
      </c>
      <c r="O656" s="93"/>
      <c r="P656" s="90">
        <v>1000000</v>
      </c>
      <c r="Q656" s="93"/>
      <c r="R656" s="90">
        <v>0</v>
      </c>
    </row>
    <row r="657" spans="1:18" x14ac:dyDescent="0.15">
      <c r="A657" s="86"/>
      <c r="C657" s="52" t="s">
        <v>330</v>
      </c>
      <c r="D657" s="52"/>
      <c r="E657" s="91"/>
      <c r="F657" s="75">
        <f>SUM(H657:L657)</f>
        <v>5544000</v>
      </c>
      <c r="G657" s="92"/>
      <c r="H657" s="90">
        <v>1148000</v>
      </c>
      <c r="I657" s="93"/>
      <c r="J657" s="90">
        <v>3825000</v>
      </c>
      <c r="K657" s="93"/>
      <c r="L657" s="90">
        <v>571000</v>
      </c>
      <c r="M657" s="93"/>
      <c r="N657" s="90">
        <v>3664000</v>
      </c>
      <c r="O657" s="93"/>
      <c r="P657" s="90">
        <v>2339000</v>
      </c>
      <c r="Q657" s="93"/>
      <c r="R657" s="90">
        <v>459000</v>
      </c>
    </row>
    <row r="658" spans="1:18" x14ac:dyDescent="0.15">
      <c r="A658" s="86"/>
      <c r="C658" s="52" t="s">
        <v>219</v>
      </c>
      <c r="D658" s="52"/>
      <c r="E658" s="91"/>
      <c r="F658" s="75">
        <f>SUM(H658:L658)</f>
        <v>128000</v>
      </c>
      <c r="G658" s="92"/>
      <c r="H658" s="90">
        <v>123000</v>
      </c>
      <c r="I658" s="93"/>
      <c r="J658" s="90">
        <v>5000</v>
      </c>
      <c r="K658" s="93"/>
      <c r="L658" s="90">
        <v>0</v>
      </c>
      <c r="M658" s="93"/>
      <c r="N658" s="90">
        <v>90000</v>
      </c>
      <c r="O658" s="93"/>
      <c r="P658" s="90">
        <v>38000</v>
      </c>
      <c r="Q658" s="93"/>
      <c r="R658" s="90">
        <v>0</v>
      </c>
    </row>
    <row r="659" spans="1:18" x14ac:dyDescent="0.15">
      <c r="A659" s="86"/>
      <c r="C659" s="52" t="s">
        <v>220</v>
      </c>
      <c r="D659" s="52"/>
      <c r="E659" s="91"/>
      <c r="F659" s="75">
        <f t="shared" ref="F659" si="25">SUM(H659:L659)</f>
        <v>402000</v>
      </c>
      <c r="G659" s="92"/>
      <c r="H659" s="90">
        <v>71000</v>
      </c>
      <c r="I659" s="93"/>
      <c r="J659" s="90">
        <v>153000</v>
      </c>
      <c r="K659" s="93"/>
      <c r="L659" s="90">
        <v>178000</v>
      </c>
      <c r="M659" s="93"/>
      <c r="N659" s="90">
        <v>396000</v>
      </c>
      <c r="O659" s="93"/>
      <c r="P659" s="90">
        <v>460000</v>
      </c>
      <c r="Q659" s="93"/>
      <c r="R659" s="90">
        <v>454000</v>
      </c>
    </row>
    <row r="660" spans="1:18" x14ac:dyDescent="0.15">
      <c r="A660" s="86"/>
      <c r="C660" s="52" t="s">
        <v>332</v>
      </c>
      <c r="F660" s="75">
        <f>SUM(H660:L660)</f>
        <v>60238000</v>
      </c>
      <c r="G660" s="92"/>
      <c r="H660" s="90">
        <v>39581000</v>
      </c>
      <c r="I660" s="93"/>
      <c r="J660" s="90">
        <v>7428000</v>
      </c>
      <c r="K660" s="93"/>
      <c r="L660" s="90">
        <v>13229000</v>
      </c>
      <c r="M660" s="93"/>
      <c r="N660" s="90">
        <v>26941000</v>
      </c>
      <c r="O660" s="93"/>
      <c r="P660" s="90">
        <v>33294000</v>
      </c>
      <c r="Q660" s="93"/>
      <c r="R660" s="90">
        <v>-3000</v>
      </c>
    </row>
    <row r="661" spans="1:18" x14ac:dyDescent="0.15">
      <c r="A661" s="86"/>
      <c r="C661" s="52" t="s">
        <v>232</v>
      </c>
      <c r="D661" s="52"/>
      <c r="E661" s="91"/>
      <c r="F661" s="75">
        <f>SUM(H661:L661)</f>
        <v>1088000</v>
      </c>
      <c r="G661" s="92"/>
      <c r="H661" s="90">
        <v>706000</v>
      </c>
      <c r="I661" s="93"/>
      <c r="J661" s="90">
        <v>26000</v>
      </c>
      <c r="K661" s="93"/>
      <c r="L661" s="90">
        <v>356000</v>
      </c>
      <c r="M661" s="93"/>
      <c r="N661" s="90">
        <v>674000</v>
      </c>
      <c r="O661" s="93"/>
      <c r="P661" s="90">
        <v>415000</v>
      </c>
      <c r="Q661" s="93"/>
      <c r="R661" s="90">
        <v>1000</v>
      </c>
    </row>
    <row r="662" spans="1:18" x14ac:dyDescent="0.15">
      <c r="A662" s="86"/>
      <c r="C662" s="52" t="s">
        <v>233</v>
      </c>
      <c r="D662" s="52"/>
      <c r="E662" s="91"/>
      <c r="F662" s="75">
        <f>SUM(H662:L662)</f>
        <v>1752000</v>
      </c>
      <c r="G662" s="92"/>
      <c r="H662" s="90">
        <v>1015000</v>
      </c>
      <c r="I662" s="93"/>
      <c r="J662" s="90">
        <v>48000</v>
      </c>
      <c r="K662" s="93"/>
      <c r="L662" s="90">
        <v>689000</v>
      </c>
      <c r="M662" s="93"/>
      <c r="N662" s="90">
        <v>1064000</v>
      </c>
      <c r="O662" s="93"/>
      <c r="P662" s="90">
        <v>697000</v>
      </c>
      <c r="Q662" s="93"/>
      <c r="R662" s="90">
        <v>9000</v>
      </c>
    </row>
    <row r="663" spans="1:18" x14ac:dyDescent="0.15">
      <c r="A663" s="86"/>
      <c r="C663" s="52" t="s">
        <v>333</v>
      </c>
      <c r="D663" s="52"/>
      <c r="E663" s="91"/>
      <c r="G663" s="69"/>
      <c r="H663" s="90"/>
      <c r="I663" s="90"/>
      <c r="J663" s="90"/>
      <c r="K663" s="90"/>
      <c r="L663" s="90"/>
      <c r="M663" s="90"/>
      <c r="N663" s="90"/>
      <c r="O663" s="90"/>
      <c r="P663" s="90"/>
      <c r="Q663" s="90"/>
      <c r="R663" s="90"/>
    </row>
    <row r="664" spans="1:18" x14ac:dyDescent="0.15">
      <c r="A664" s="86"/>
      <c r="C664" s="86"/>
      <c r="D664" s="52"/>
      <c r="E664" s="91" t="s">
        <v>334</v>
      </c>
      <c r="F664" s="75">
        <f>SUM(H664:L664)</f>
        <v>81000</v>
      </c>
      <c r="G664" s="92"/>
      <c r="H664" s="90">
        <v>47000</v>
      </c>
      <c r="I664" s="93"/>
      <c r="J664" s="90">
        <v>28000</v>
      </c>
      <c r="K664" s="93"/>
      <c r="L664" s="90">
        <v>6000</v>
      </c>
      <c r="M664" s="93"/>
      <c r="N664" s="90">
        <v>58000</v>
      </c>
      <c r="O664" s="93"/>
      <c r="P664" s="90">
        <v>23000</v>
      </c>
      <c r="Q664" s="93"/>
      <c r="R664" s="90">
        <v>0</v>
      </c>
    </row>
    <row r="665" spans="1:18" x14ac:dyDescent="0.15">
      <c r="A665" s="86"/>
      <c r="C665" s="52" t="s">
        <v>335</v>
      </c>
      <c r="D665" s="52"/>
      <c r="E665" s="91"/>
      <c r="F665" s="75">
        <f>SUM(H665:L665)</f>
        <v>2780000</v>
      </c>
      <c r="G665" s="92"/>
      <c r="H665" s="90">
        <v>3071000</v>
      </c>
      <c r="I665" s="93"/>
      <c r="J665" s="90">
        <v>-587000</v>
      </c>
      <c r="K665" s="93"/>
      <c r="L665" s="90">
        <v>296000</v>
      </c>
      <c r="M665" s="93"/>
      <c r="N665" s="90">
        <v>2600000</v>
      </c>
      <c r="O665" s="93"/>
      <c r="P665" s="90">
        <v>3585000</v>
      </c>
      <c r="Q665" s="93"/>
      <c r="R665" s="90">
        <v>3405000</v>
      </c>
    </row>
    <row r="666" spans="1:18" x14ac:dyDescent="0.15">
      <c r="A666" s="86"/>
      <c r="C666" s="52" t="s">
        <v>336</v>
      </c>
      <c r="D666" s="52"/>
      <c r="E666" s="91"/>
      <c r="F666" s="75">
        <f>SUM(H666:L666)</f>
        <v>1812000</v>
      </c>
      <c r="G666" s="92"/>
      <c r="H666" s="90">
        <v>0</v>
      </c>
      <c r="I666" s="93"/>
      <c r="J666" s="90">
        <v>1812000</v>
      </c>
      <c r="K666" s="93"/>
      <c r="L666" s="90">
        <v>0</v>
      </c>
      <c r="M666" s="93"/>
      <c r="N666" s="90">
        <v>1345000</v>
      </c>
      <c r="O666" s="93"/>
      <c r="P666" s="90">
        <v>467000</v>
      </c>
      <c r="Q666" s="93"/>
      <c r="R666" s="90">
        <v>0</v>
      </c>
    </row>
    <row r="667" spans="1:18" x14ac:dyDescent="0.15">
      <c r="A667" s="86"/>
      <c r="C667" s="52" t="s">
        <v>234</v>
      </c>
      <c r="D667" s="52"/>
      <c r="E667" s="91"/>
      <c r="F667" s="75">
        <f>SUM(H667:L667)</f>
        <v>-1082000</v>
      </c>
      <c r="G667" s="92"/>
      <c r="H667" s="90">
        <v>663000</v>
      </c>
      <c r="I667" s="93"/>
      <c r="J667" s="90">
        <v>-2300000</v>
      </c>
      <c r="K667" s="93"/>
      <c r="L667" s="90">
        <v>555000</v>
      </c>
      <c r="M667" s="93"/>
      <c r="N667" s="90">
        <v>468000</v>
      </c>
      <c r="O667" s="93"/>
      <c r="P667" s="90">
        <v>-1299000</v>
      </c>
      <c r="Q667" s="93"/>
      <c r="R667" s="90">
        <v>251000</v>
      </c>
    </row>
    <row r="668" spans="1:18" x14ac:dyDescent="0.15">
      <c r="A668" s="86"/>
      <c r="C668" s="52" t="s">
        <v>337</v>
      </c>
      <c r="D668" s="52"/>
      <c r="E668" s="91"/>
      <c r="G668" s="69"/>
      <c r="H668" s="90"/>
      <c r="I668" s="90"/>
      <c r="J668" s="90"/>
      <c r="K668" s="90"/>
      <c r="L668" s="90"/>
      <c r="M668" s="90"/>
      <c r="N668" s="90"/>
      <c r="O668" s="90"/>
      <c r="P668" s="90"/>
      <c r="Q668" s="90"/>
      <c r="R668" s="90"/>
    </row>
    <row r="669" spans="1:18" x14ac:dyDescent="0.15">
      <c r="A669" s="86"/>
      <c r="B669" s="86"/>
      <c r="C669" s="86"/>
      <c r="D669" s="52"/>
      <c r="E669" s="52" t="s">
        <v>338</v>
      </c>
      <c r="F669" s="75">
        <f t="shared" ref="F669:F678" si="26">SUM(H669:L669)</f>
        <v>3027000</v>
      </c>
      <c r="G669" s="92"/>
      <c r="H669" s="90">
        <v>1252000</v>
      </c>
      <c r="I669" s="93"/>
      <c r="J669" s="90">
        <v>1389000</v>
      </c>
      <c r="K669" s="93"/>
      <c r="L669" s="90">
        <v>386000</v>
      </c>
      <c r="M669" s="93"/>
      <c r="N669" s="90">
        <v>1907000</v>
      </c>
      <c r="O669" s="93"/>
      <c r="P669" s="90">
        <v>1121000</v>
      </c>
      <c r="Q669" s="93"/>
      <c r="R669" s="90">
        <v>1000</v>
      </c>
    </row>
    <row r="670" spans="1:18" x14ac:dyDescent="0.15">
      <c r="A670" s="86"/>
      <c r="B670" s="86"/>
      <c r="C670" s="52" t="s">
        <v>339</v>
      </c>
      <c r="D670" s="52"/>
      <c r="F670" s="75">
        <f t="shared" si="26"/>
        <v>2989000</v>
      </c>
      <c r="G670" s="92"/>
      <c r="H670" s="90">
        <v>0</v>
      </c>
      <c r="I670" s="93"/>
      <c r="J670" s="90">
        <v>2989000</v>
      </c>
      <c r="K670" s="93"/>
      <c r="L670" s="90">
        <v>0</v>
      </c>
      <c r="M670" s="93"/>
      <c r="N670" s="90">
        <v>2341000</v>
      </c>
      <c r="O670" s="93"/>
      <c r="P670" s="90">
        <v>648000</v>
      </c>
      <c r="Q670" s="93"/>
      <c r="R670" s="90">
        <v>0</v>
      </c>
    </row>
    <row r="671" spans="1:18" x14ac:dyDescent="0.15">
      <c r="A671" s="86"/>
      <c r="B671" s="86"/>
      <c r="C671" s="52" t="s">
        <v>297</v>
      </c>
      <c r="D671" s="52"/>
      <c r="E671" s="91"/>
      <c r="F671" s="75">
        <f t="shared" si="26"/>
        <v>30640000</v>
      </c>
      <c r="G671" s="92"/>
      <c r="H671" s="90">
        <v>0</v>
      </c>
      <c r="I671" s="93"/>
      <c r="J671" s="90">
        <v>30640000</v>
      </c>
      <c r="K671" s="93"/>
      <c r="L671" s="90">
        <v>0</v>
      </c>
      <c r="M671" s="93"/>
      <c r="N671" s="90">
        <v>0</v>
      </c>
      <c r="O671" s="93"/>
      <c r="P671" s="90">
        <v>30640000</v>
      </c>
      <c r="Q671" s="93"/>
      <c r="R671" s="90">
        <v>0</v>
      </c>
    </row>
    <row r="672" spans="1:18" x14ac:dyDescent="0.15">
      <c r="A672" s="86"/>
      <c r="B672" s="86"/>
      <c r="C672" s="52" t="s">
        <v>340</v>
      </c>
      <c r="D672" s="52"/>
      <c r="E672" s="91"/>
      <c r="F672" s="75">
        <f t="shared" si="26"/>
        <v>358000</v>
      </c>
      <c r="G672" s="92"/>
      <c r="H672" s="90">
        <v>230000</v>
      </c>
      <c r="I672" s="93"/>
      <c r="J672" s="90">
        <v>128000</v>
      </c>
      <c r="K672" s="93"/>
      <c r="L672" s="90">
        <v>0</v>
      </c>
      <c r="M672" s="93"/>
      <c r="N672" s="90">
        <v>243000</v>
      </c>
      <c r="O672" s="93"/>
      <c r="P672" s="90">
        <v>118000</v>
      </c>
      <c r="Q672" s="93"/>
      <c r="R672" s="90">
        <v>3000</v>
      </c>
    </row>
    <row r="673" spans="1:18" x14ac:dyDescent="0.15">
      <c r="A673" s="86"/>
      <c r="B673" s="86"/>
      <c r="C673" s="52" t="s">
        <v>341</v>
      </c>
      <c r="D673" s="52"/>
      <c r="E673" s="91"/>
      <c r="F673" s="75">
        <f t="shared" si="26"/>
        <v>963000</v>
      </c>
      <c r="G673" s="92"/>
      <c r="H673" s="90">
        <v>554000</v>
      </c>
      <c r="I673" s="93"/>
      <c r="J673" s="90">
        <v>261000</v>
      </c>
      <c r="K673" s="93"/>
      <c r="L673" s="90">
        <v>148000</v>
      </c>
      <c r="M673" s="93"/>
      <c r="N673" s="90">
        <v>592000</v>
      </c>
      <c r="O673" s="93"/>
      <c r="P673" s="90">
        <v>374000</v>
      </c>
      <c r="Q673" s="93"/>
      <c r="R673" s="90">
        <v>3000</v>
      </c>
    </row>
    <row r="674" spans="1:18" x14ac:dyDescent="0.15">
      <c r="A674" s="86"/>
      <c r="B674" s="86"/>
      <c r="C674" s="52" t="s">
        <v>236</v>
      </c>
      <c r="D674" s="52"/>
      <c r="E674" s="91"/>
      <c r="F674" s="75">
        <f t="shared" si="26"/>
        <v>-36000</v>
      </c>
      <c r="G674" s="92"/>
      <c r="H674" s="90">
        <v>0</v>
      </c>
      <c r="I674" s="93"/>
      <c r="J674" s="90">
        <v>-36000</v>
      </c>
      <c r="K674" s="93"/>
      <c r="L674" s="90">
        <v>0</v>
      </c>
      <c r="M674" s="93"/>
      <c r="N674" s="90">
        <v>907000</v>
      </c>
      <c r="O674" s="93"/>
      <c r="P674" s="90">
        <v>624000</v>
      </c>
      <c r="Q674" s="93"/>
      <c r="R674" s="90">
        <v>1567000</v>
      </c>
    </row>
    <row r="675" spans="1:18" x14ac:dyDescent="0.15">
      <c r="A675" s="86"/>
      <c r="B675" s="86"/>
      <c r="C675" s="52" t="s">
        <v>318</v>
      </c>
      <c r="D675" s="52"/>
      <c r="E675" s="91"/>
      <c r="F675" s="75">
        <f t="shared" si="26"/>
        <v>2060000</v>
      </c>
      <c r="G675" s="92"/>
      <c r="H675" s="90">
        <v>813000</v>
      </c>
      <c r="I675" s="93"/>
      <c r="J675" s="90">
        <v>289000</v>
      </c>
      <c r="K675" s="93"/>
      <c r="L675" s="90">
        <v>958000</v>
      </c>
      <c r="M675" s="93"/>
      <c r="N675" s="90">
        <v>1280000</v>
      </c>
      <c r="O675" s="93"/>
      <c r="P675" s="90">
        <v>787000</v>
      </c>
      <c r="Q675" s="93"/>
      <c r="R675" s="90">
        <v>7000</v>
      </c>
    </row>
    <row r="676" spans="1:18" x14ac:dyDescent="0.15">
      <c r="A676" s="86"/>
      <c r="B676" s="86"/>
      <c r="C676" s="52" t="s">
        <v>303</v>
      </c>
      <c r="D676" s="52"/>
      <c r="E676" s="91"/>
      <c r="F676" s="75">
        <f t="shared" si="26"/>
        <v>877000</v>
      </c>
      <c r="G676" s="92"/>
      <c r="H676" s="90">
        <v>526000</v>
      </c>
      <c r="I676" s="93"/>
      <c r="J676" s="90">
        <v>26000</v>
      </c>
      <c r="K676" s="93"/>
      <c r="L676" s="90">
        <v>325000</v>
      </c>
      <c r="M676" s="93"/>
      <c r="N676" s="90">
        <v>552000</v>
      </c>
      <c r="O676" s="93"/>
      <c r="P676" s="90">
        <v>325000</v>
      </c>
      <c r="Q676" s="93"/>
      <c r="R676" s="90">
        <v>0</v>
      </c>
    </row>
    <row r="677" spans="1:18" x14ac:dyDescent="0.15">
      <c r="A677" s="86"/>
      <c r="B677" s="86"/>
      <c r="C677" s="52" t="s">
        <v>342</v>
      </c>
      <c r="D677" s="52"/>
      <c r="E677" s="91"/>
      <c r="F677" s="75">
        <f t="shared" si="26"/>
        <v>119000</v>
      </c>
      <c r="G677" s="92"/>
      <c r="H677" s="90">
        <v>372000</v>
      </c>
      <c r="I677" s="93"/>
      <c r="J677" s="90">
        <v>-253000</v>
      </c>
      <c r="K677" s="93"/>
      <c r="L677" s="90">
        <v>0</v>
      </c>
      <c r="M677" s="93"/>
      <c r="N677" s="90">
        <v>232000</v>
      </c>
      <c r="O677" s="93"/>
      <c r="P677" s="90">
        <v>2136000</v>
      </c>
      <c r="Q677" s="93"/>
      <c r="R677" s="90">
        <v>2249000</v>
      </c>
    </row>
    <row r="678" spans="1:18" x14ac:dyDescent="0.15">
      <c r="A678" s="86"/>
      <c r="B678" s="86"/>
      <c r="C678" s="52" t="s">
        <v>244</v>
      </c>
      <c r="D678" s="52"/>
      <c r="E678" s="91"/>
      <c r="F678" s="75">
        <f t="shared" si="26"/>
        <v>209000</v>
      </c>
      <c r="G678" s="92"/>
      <c r="H678" s="90">
        <v>-92000</v>
      </c>
      <c r="I678" s="93"/>
      <c r="J678" s="90">
        <v>301000</v>
      </c>
      <c r="K678" s="93"/>
      <c r="L678" s="90">
        <v>0</v>
      </c>
      <c r="M678" s="93"/>
      <c r="N678" s="90">
        <v>255000</v>
      </c>
      <c r="O678" s="93"/>
      <c r="P678" s="90">
        <v>-46000</v>
      </c>
      <c r="Q678" s="93"/>
      <c r="R678" s="90">
        <v>0</v>
      </c>
    </row>
    <row r="679" spans="1:18" x14ac:dyDescent="0.15">
      <c r="A679" s="86"/>
      <c r="B679" s="86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</row>
    <row r="680" spans="1:18" x14ac:dyDescent="0.15">
      <c r="A680" s="86"/>
      <c r="B680" s="86"/>
      <c r="E680" s="52" t="s">
        <v>3</v>
      </c>
      <c r="F680" s="94">
        <f>SUM(H680:L680)</f>
        <v>131465000</v>
      </c>
      <c r="G680" s="69"/>
      <c r="H680" s="94">
        <f>SUM(H645:H679)</f>
        <v>55336000</v>
      </c>
      <c r="I680" s="75"/>
      <c r="J680" s="94">
        <f t="shared" ref="J680:R680" si="27">SUM(J645:J679)</f>
        <v>58372000</v>
      </c>
      <c r="K680" s="94">
        <f t="shared" si="27"/>
        <v>0</v>
      </c>
      <c r="L680" s="94">
        <f t="shared" si="27"/>
        <v>17757000</v>
      </c>
      <c r="M680" s="94">
        <f t="shared" si="27"/>
        <v>0</v>
      </c>
      <c r="N680" s="94">
        <f t="shared" si="27"/>
        <v>58239000</v>
      </c>
      <c r="O680" s="94">
        <f t="shared" si="27"/>
        <v>0</v>
      </c>
      <c r="P680" s="94">
        <f t="shared" si="27"/>
        <v>105985000</v>
      </c>
      <c r="Q680" s="94">
        <f t="shared" si="27"/>
        <v>0</v>
      </c>
      <c r="R680" s="94">
        <f t="shared" si="27"/>
        <v>32759000</v>
      </c>
    </row>
    <row r="681" spans="1:18" x14ac:dyDescent="0.15">
      <c r="A681" s="86"/>
      <c r="B681" s="86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</row>
    <row r="682" spans="1:18" x14ac:dyDescent="0.15">
      <c r="A682" s="86"/>
      <c r="B682" s="86"/>
      <c r="E682" s="52" t="s">
        <v>343</v>
      </c>
      <c r="F682" s="94">
        <f>SUM(H682:L682)</f>
        <v>534873000</v>
      </c>
      <c r="G682" s="69"/>
      <c r="H682" s="94">
        <f>+H519+H610+H642+H680</f>
        <v>-1038000</v>
      </c>
      <c r="I682" s="75"/>
      <c r="J682" s="94">
        <f>+J519+J610+J642+J680</f>
        <v>271747000</v>
      </c>
      <c r="K682" s="75"/>
      <c r="L682" s="94">
        <f>+L519+L610+L642+L680</f>
        <v>264164000</v>
      </c>
      <c r="M682" s="75"/>
      <c r="N682" s="94">
        <f>+N519+N610+N642+N680</f>
        <v>192208000</v>
      </c>
      <c r="O682" s="75"/>
      <c r="P682" s="94">
        <f>+P519+P610+P642+P680</f>
        <v>378111000</v>
      </c>
      <c r="Q682" s="75"/>
      <c r="R682" s="94">
        <f>+R519+R610+R642+R680</f>
        <v>35446000</v>
      </c>
    </row>
    <row r="683" spans="1:18" x14ac:dyDescent="0.15">
      <c r="G683" s="69"/>
      <c r="H683" s="75"/>
      <c r="I683" s="75"/>
      <c r="J683" s="75"/>
      <c r="K683" s="75"/>
      <c r="L683" s="75"/>
      <c r="M683" s="75"/>
      <c r="N683" s="75"/>
      <c r="O683" s="75"/>
      <c r="P683" s="75"/>
      <c r="Q683" s="75"/>
      <c r="R683" s="75"/>
    </row>
    <row r="684" spans="1:18" x14ac:dyDescent="0.15">
      <c r="A684" s="79" t="s">
        <v>344</v>
      </c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</row>
    <row r="685" spans="1:18" x14ac:dyDescent="0.15">
      <c r="A685" s="88"/>
      <c r="B685" s="88"/>
      <c r="C685" s="88"/>
      <c r="D685" s="88"/>
      <c r="E685" s="88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</row>
    <row r="686" spans="1:18" x14ac:dyDescent="0.15">
      <c r="A686" s="88"/>
      <c r="B686" s="53" t="s">
        <v>345</v>
      </c>
      <c r="C686" s="88"/>
      <c r="D686" s="88"/>
      <c r="E686" s="88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</row>
    <row r="687" spans="1:18" x14ac:dyDescent="0.15">
      <c r="B687" s="78"/>
      <c r="C687" s="53" t="s">
        <v>33</v>
      </c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</row>
    <row r="688" spans="1:18" x14ac:dyDescent="0.15">
      <c r="C688" s="53" t="s">
        <v>346</v>
      </c>
      <c r="F688" s="75">
        <f t="shared" ref="F688:F689" si="28">SUM(H688:L688)</f>
        <v>788000</v>
      </c>
      <c r="G688" s="92"/>
      <c r="H688" s="90">
        <v>1000</v>
      </c>
      <c r="I688" s="93"/>
      <c r="J688" s="90">
        <v>787000</v>
      </c>
      <c r="K688" s="93"/>
      <c r="L688" s="90">
        <v>0</v>
      </c>
      <c r="M688" s="93"/>
      <c r="N688" s="90">
        <v>487000</v>
      </c>
      <c r="O688" s="93"/>
      <c r="P688" s="90">
        <v>301000</v>
      </c>
      <c r="Q688" s="93"/>
      <c r="R688" s="90">
        <v>0</v>
      </c>
    </row>
    <row r="689" spans="1:18" x14ac:dyDescent="0.15">
      <c r="C689" s="53" t="s">
        <v>348</v>
      </c>
      <c r="F689" s="75">
        <f t="shared" si="28"/>
        <v>2659000</v>
      </c>
      <c r="G689" s="92"/>
      <c r="H689" s="90">
        <v>0</v>
      </c>
      <c r="I689" s="93"/>
      <c r="J689" s="90">
        <v>2659000</v>
      </c>
      <c r="K689" s="93"/>
      <c r="L689" s="90">
        <v>0</v>
      </c>
      <c r="M689" s="93"/>
      <c r="N689" s="90">
        <v>5040000</v>
      </c>
      <c r="O689" s="93"/>
      <c r="P689" s="90">
        <v>3764000</v>
      </c>
      <c r="Q689" s="93"/>
      <c r="R689" s="90">
        <v>6145000</v>
      </c>
    </row>
    <row r="690" spans="1:18" x14ac:dyDescent="0.15">
      <c r="C690" s="52" t="s">
        <v>349</v>
      </c>
      <c r="F690" s="75">
        <f>SUM(H690:L690)</f>
        <v>2000</v>
      </c>
      <c r="G690" s="92"/>
      <c r="H690" s="90">
        <v>0</v>
      </c>
      <c r="I690" s="93"/>
      <c r="J690" s="90">
        <v>2000</v>
      </c>
      <c r="K690" s="93"/>
      <c r="L690" s="90">
        <v>0</v>
      </c>
      <c r="M690" s="93"/>
      <c r="N690" s="90">
        <v>1000</v>
      </c>
      <c r="O690" s="93"/>
      <c r="P690" s="90">
        <v>1000</v>
      </c>
      <c r="Q690" s="93"/>
      <c r="R690" s="90">
        <v>0</v>
      </c>
    </row>
    <row r="691" spans="1:18" x14ac:dyDescent="0.15">
      <c r="C691" s="52" t="s">
        <v>350</v>
      </c>
      <c r="G691" s="92"/>
      <c r="H691" s="90"/>
      <c r="I691" s="93"/>
      <c r="J691" s="90"/>
      <c r="K691" s="93"/>
      <c r="L691" s="90"/>
      <c r="M691" s="93"/>
      <c r="N691" s="90"/>
      <c r="O691" s="93"/>
      <c r="P691" s="90"/>
      <c r="Q691" s="93"/>
      <c r="R691" s="90"/>
    </row>
    <row r="692" spans="1:18" x14ac:dyDescent="0.15">
      <c r="C692" s="53" t="s">
        <v>351</v>
      </c>
      <c r="D692" s="52"/>
      <c r="E692" s="52" t="s">
        <v>352</v>
      </c>
      <c r="F692" s="94">
        <f>SUM(H692:L692)</f>
        <v>1227000</v>
      </c>
      <c r="G692" s="69"/>
      <c r="H692" s="95">
        <v>25000</v>
      </c>
      <c r="I692" s="93"/>
      <c r="J692" s="95">
        <v>821000</v>
      </c>
      <c r="K692" s="93"/>
      <c r="L692" s="95">
        <v>381000</v>
      </c>
      <c r="M692" s="93"/>
      <c r="N692" s="95">
        <v>716000</v>
      </c>
      <c r="O692" s="93"/>
      <c r="P692" s="95">
        <v>511000</v>
      </c>
      <c r="Q692" s="93"/>
      <c r="R692" s="95">
        <v>0</v>
      </c>
    </row>
    <row r="693" spans="1:18" x14ac:dyDescent="0.15"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</row>
    <row r="694" spans="1:18" x14ac:dyDescent="0.15">
      <c r="E694" s="52" t="s">
        <v>3</v>
      </c>
      <c r="F694" s="94">
        <f>SUM(H694:L694)</f>
        <v>4676000</v>
      </c>
      <c r="G694" s="69"/>
      <c r="H694" s="94">
        <f>SUM(H688:H693)</f>
        <v>26000</v>
      </c>
      <c r="I694" s="75"/>
      <c r="J694" s="94">
        <f>SUM(J688:J693)</f>
        <v>4269000</v>
      </c>
      <c r="K694" s="75"/>
      <c r="L694" s="94">
        <f>SUM(L688:L693)</f>
        <v>381000</v>
      </c>
      <c r="M694" s="75"/>
      <c r="N694" s="94">
        <f>SUM(N688:N693)</f>
        <v>6244000</v>
      </c>
      <c r="O694" s="75"/>
      <c r="P694" s="94">
        <f>SUM(P688:P693)</f>
        <v>4577000</v>
      </c>
      <c r="Q694" s="75"/>
      <c r="R694" s="94">
        <f>SUM(R688:R693)</f>
        <v>6145000</v>
      </c>
    </row>
    <row r="695" spans="1:18" x14ac:dyDescent="0.15">
      <c r="A695" s="88"/>
      <c r="B695" s="88"/>
      <c r="C695" s="88"/>
      <c r="D695" s="88"/>
      <c r="E695" s="88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</row>
    <row r="696" spans="1:18" x14ac:dyDescent="0.15">
      <c r="A696" s="88"/>
      <c r="B696" s="53" t="s">
        <v>353</v>
      </c>
      <c r="C696" s="88"/>
      <c r="D696" s="88"/>
      <c r="E696" s="88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</row>
    <row r="697" spans="1:18" x14ac:dyDescent="0.15">
      <c r="B697" s="78"/>
      <c r="C697" s="53" t="s">
        <v>354</v>
      </c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</row>
    <row r="698" spans="1:18" x14ac:dyDescent="0.15">
      <c r="A698" s="86"/>
      <c r="B698" s="78"/>
      <c r="C698" s="53" t="s">
        <v>355</v>
      </c>
      <c r="F698" s="94">
        <f>SUM(H698:L698)</f>
        <v>2813000</v>
      </c>
      <c r="G698" s="69"/>
      <c r="H698" s="95">
        <v>25000</v>
      </c>
      <c r="I698" s="90"/>
      <c r="J698" s="95">
        <v>2683000</v>
      </c>
      <c r="K698" s="90"/>
      <c r="L698" s="95">
        <v>105000</v>
      </c>
      <c r="M698" s="90"/>
      <c r="N698" s="95">
        <v>1688000</v>
      </c>
      <c r="O698" s="90"/>
      <c r="P698" s="95">
        <v>1112000</v>
      </c>
      <c r="Q698" s="90"/>
      <c r="R698" s="95">
        <v>-13000</v>
      </c>
    </row>
    <row r="699" spans="1:18" x14ac:dyDescent="0.15">
      <c r="A699" s="86"/>
      <c r="B699" s="78"/>
      <c r="G699" s="69"/>
      <c r="H699" s="90"/>
      <c r="I699" s="90"/>
      <c r="J699" s="90"/>
      <c r="K699" s="90"/>
      <c r="L699" s="90"/>
      <c r="M699" s="90"/>
      <c r="N699" s="90"/>
      <c r="O699" s="90"/>
      <c r="P699" s="90"/>
      <c r="Q699" s="90"/>
      <c r="R699" s="90"/>
    </row>
    <row r="700" spans="1:18" x14ac:dyDescent="0.15">
      <c r="A700" s="86"/>
      <c r="C700" s="52" t="s">
        <v>356</v>
      </c>
      <c r="D700" s="52"/>
      <c r="E700" s="91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</row>
    <row r="701" spans="1:18" x14ac:dyDescent="0.15">
      <c r="A701" s="86"/>
      <c r="E701" s="52" t="s">
        <v>357</v>
      </c>
      <c r="F701" s="75">
        <f>SUM(H701:L701)</f>
        <v>769000</v>
      </c>
      <c r="G701" s="92"/>
      <c r="H701" s="90">
        <v>11000</v>
      </c>
      <c r="I701" s="93"/>
      <c r="J701" s="90">
        <v>694000</v>
      </c>
      <c r="K701" s="93"/>
      <c r="L701" s="90">
        <v>64000</v>
      </c>
      <c r="M701" s="93"/>
      <c r="N701" s="90">
        <v>486000</v>
      </c>
      <c r="O701" s="93"/>
      <c r="P701" s="90">
        <v>283000</v>
      </c>
      <c r="Q701" s="93"/>
      <c r="R701" s="90">
        <v>0</v>
      </c>
    </row>
    <row r="702" spans="1:18" x14ac:dyDescent="0.15">
      <c r="A702" s="86"/>
      <c r="E702" s="52" t="s">
        <v>358</v>
      </c>
      <c r="F702" s="94">
        <f>SUM(H702:L702)</f>
        <v>999000</v>
      </c>
      <c r="G702" s="69"/>
      <c r="H702" s="95">
        <v>0</v>
      </c>
      <c r="I702" s="90"/>
      <c r="J702" s="95">
        <v>661000</v>
      </c>
      <c r="K702" s="90"/>
      <c r="L702" s="95">
        <v>338000</v>
      </c>
      <c r="M702" s="90"/>
      <c r="N702" s="95">
        <v>423000</v>
      </c>
      <c r="O702" s="90"/>
      <c r="P702" s="95">
        <v>587000</v>
      </c>
      <c r="Q702" s="90"/>
      <c r="R702" s="95">
        <v>11000</v>
      </c>
    </row>
    <row r="703" spans="1:18" x14ac:dyDescent="0.15">
      <c r="A703" s="86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</row>
    <row r="704" spans="1:18" x14ac:dyDescent="0.15">
      <c r="A704" s="86"/>
      <c r="E704" s="52" t="s">
        <v>3</v>
      </c>
      <c r="F704" s="94">
        <f>SUM(H704:L704)</f>
        <v>1768000</v>
      </c>
      <c r="G704" s="69"/>
      <c r="H704" s="94">
        <f>SUM(H701:H703)</f>
        <v>11000</v>
      </c>
      <c r="I704" s="75"/>
      <c r="J704" s="94">
        <f>SUM(J701:J703)</f>
        <v>1355000</v>
      </c>
      <c r="K704" s="75"/>
      <c r="L704" s="94">
        <f>SUM(L701:L703)</f>
        <v>402000</v>
      </c>
      <c r="M704" s="75"/>
      <c r="N704" s="94">
        <f>SUM(N701:N703)</f>
        <v>909000</v>
      </c>
      <c r="O704" s="75"/>
      <c r="P704" s="94">
        <f>SUM(P701:P703)</f>
        <v>870000</v>
      </c>
      <c r="Q704" s="75"/>
      <c r="R704" s="94">
        <f>SUM(R701:R703)</f>
        <v>11000</v>
      </c>
    </row>
    <row r="705" spans="1:18" x14ac:dyDescent="0.15">
      <c r="A705" s="86"/>
      <c r="B705" s="7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</row>
    <row r="706" spans="1:18" x14ac:dyDescent="0.15">
      <c r="A706" s="86"/>
      <c r="C706" s="52" t="s">
        <v>359</v>
      </c>
      <c r="D706" s="52"/>
      <c r="E706" s="91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</row>
    <row r="707" spans="1:18" x14ac:dyDescent="0.15">
      <c r="A707" s="86"/>
      <c r="E707" s="52" t="s">
        <v>360</v>
      </c>
      <c r="F707" s="75">
        <f>SUM(H707:L707)</f>
        <v>948000</v>
      </c>
      <c r="G707" s="92"/>
      <c r="H707" s="90">
        <v>0</v>
      </c>
      <c r="I707" s="93"/>
      <c r="J707" s="90">
        <v>131000</v>
      </c>
      <c r="K707" s="93"/>
      <c r="L707" s="90">
        <v>817000</v>
      </c>
      <c r="M707" s="93"/>
      <c r="N707" s="90">
        <v>542000</v>
      </c>
      <c r="O707" s="93"/>
      <c r="P707" s="90">
        <v>406000</v>
      </c>
      <c r="Q707" s="93"/>
      <c r="R707" s="90">
        <v>0</v>
      </c>
    </row>
    <row r="708" spans="1:18" x14ac:dyDescent="0.15">
      <c r="A708" s="86"/>
      <c r="E708" s="52" t="s">
        <v>361</v>
      </c>
      <c r="G708" s="69"/>
      <c r="H708" s="90"/>
      <c r="I708" s="90"/>
      <c r="J708" s="90"/>
      <c r="K708" s="90"/>
      <c r="L708" s="90"/>
      <c r="M708" s="90"/>
      <c r="N708" s="90"/>
      <c r="O708" s="90"/>
      <c r="P708" s="90"/>
      <c r="Q708" s="90"/>
      <c r="R708" s="90"/>
    </row>
    <row r="709" spans="1:18" x14ac:dyDescent="0.15">
      <c r="A709" s="86"/>
      <c r="E709" s="52" t="s">
        <v>362</v>
      </c>
      <c r="F709" s="75">
        <f t="shared" ref="F709:F714" si="29">SUM(H709:L709)</f>
        <v>761000</v>
      </c>
      <c r="G709" s="92"/>
      <c r="H709" s="90">
        <v>252000</v>
      </c>
      <c r="I709" s="93"/>
      <c r="J709" s="90">
        <v>469000</v>
      </c>
      <c r="K709" s="93"/>
      <c r="L709" s="90">
        <v>40000</v>
      </c>
      <c r="M709" s="93"/>
      <c r="N709" s="90">
        <v>459000</v>
      </c>
      <c r="O709" s="93"/>
      <c r="P709" s="90">
        <v>302000</v>
      </c>
      <c r="Q709" s="93"/>
      <c r="R709" s="90">
        <v>0</v>
      </c>
    </row>
    <row r="710" spans="1:18" x14ac:dyDescent="0.15">
      <c r="A710" s="86"/>
      <c r="E710" s="52" t="s">
        <v>363</v>
      </c>
      <c r="F710" s="75">
        <f t="shared" si="29"/>
        <v>306000</v>
      </c>
      <c r="G710" s="92"/>
      <c r="H710" s="90">
        <v>146000</v>
      </c>
      <c r="I710" s="93"/>
      <c r="J710" s="90">
        <v>160000</v>
      </c>
      <c r="K710" s="93"/>
      <c r="L710" s="90">
        <v>0</v>
      </c>
      <c r="M710" s="93"/>
      <c r="N710" s="90">
        <v>203000</v>
      </c>
      <c r="O710" s="93"/>
      <c r="P710" s="90">
        <v>103000</v>
      </c>
      <c r="Q710" s="93"/>
      <c r="R710" s="90">
        <v>0</v>
      </c>
    </row>
    <row r="711" spans="1:18" x14ac:dyDescent="0.15">
      <c r="A711" s="86"/>
      <c r="E711" s="52" t="s">
        <v>364</v>
      </c>
      <c r="F711" s="75">
        <f t="shared" si="29"/>
        <v>4813000</v>
      </c>
      <c r="G711" s="92"/>
      <c r="H711" s="90">
        <v>0</v>
      </c>
      <c r="I711" s="93"/>
      <c r="J711" s="90">
        <v>4519000</v>
      </c>
      <c r="K711" s="93"/>
      <c r="L711" s="90">
        <v>294000</v>
      </c>
      <c r="M711" s="93"/>
      <c r="N711" s="90">
        <v>2878000</v>
      </c>
      <c r="O711" s="93"/>
      <c r="P711" s="90">
        <v>1935000</v>
      </c>
      <c r="Q711" s="93"/>
      <c r="R711" s="90">
        <v>0</v>
      </c>
    </row>
    <row r="712" spans="1:18" x14ac:dyDescent="0.15">
      <c r="E712" s="52" t="s">
        <v>365</v>
      </c>
      <c r="F712" s="75">
        <f t="shared" si="29"/>
        <v>307000</v>
      </c>
      <c r="G712" s="92"/>
      <c r="H712" s="90">
        <v>0</v>
      </c>
      <c r="I712" s="93"/>
      <c r="J712" s="90">
        <v>283000</v>
      </c>
      <c r="K712" s="93"/>
      <c r="L712" s="90">
        <v>24000</v>
      </c>
      <c r="M712" s="93"/>
      <c r="N712" s="90">
        <v>226000</v>
      </c>
      <c r="O712" s="93"/>
      <c r="P712" s="90">
        <v>81000</v>
      </c>
      <c r="Q712" s="93"/>
      <c r="R712" s="90">
        <v>0</v>
      </c>
    </row>
    <row r="713" spans="1:18" x14ac:dyDescent="0.15">
      <c r="E713" s="52" t="s">
        <v>366</v>
      </c>
      <c r="F713" s="75">
        <f t="shared" si="29"/>
        <v>1558000</v>
      </c>
      <c r="G713" s="92"/>
      <c r="H713" s="90">
        <v>3000</v>
      </c>
      <c r="I713" s="93"/>
      <c r="J713" s="90">
        <v>1554000</v>
      </c>
      <c r="K713" s="93"/>
      <c r="L713" s="90">
        <v>1000</v>
      </c>
      <c r="M713" s="93"/>
      <c r="N713" s="90">
        <v>503000</v>
      </c>
      <c r="O713" s="93"/>
      <c r="P713" s="90">
        <v>1055000</v>
      </c>
      <c r="Q713" s="93"/>
      <c r="R713" s="90">
        <v>0</v>
      </c>
    </row>
    <row r="714" spans="1:18" x14ac:dyDescent="0.15">
      <c r="E714" s="52" t="s">
        <v>367</v>
      </c>
      <c r="F714" s="75">
        <f t="shared" si="29"/>
        <v>5252000</v>
      </c>
      <c r="G714" s="92"/>
      <c r="H714" s="90">
        <v>1477000</v>
      </c>
      <c r="I714" s="93"/>
      <c r="J714" s="90">
        <v>3714000</v>
      </c>
      <c r="K714" s="93"/>
      <c r="L714" s="90">
        <v>61000</v>
      </c>
      <c r="M714" s="93"/>
      <c r="N714" s="90">
        <v>3629000</v>
      </c>
      <c r="O714" s="93"/>
      <c r="P714" s="90">
        <v>1638000</v>
      </c>
      <c r="Q714" s="93"/>
      <c r="R714" s="90">
        <v>15000</v>
      </c>
    </row>
    <row r="715" spans="1:18" x14ac:dyDescent="0.15">
      <c r="E715" s="52" t="s">
        <v>368</v>
      </c>
      <c r="F715" s="94">
        <f>SUM(H715:L715)</f>
        <v>1305000</v>
      </c>
      <c r="G715" s="69"/>
      <c r="H715" s="95">
        <v>1000</v>
      </c>
      <c r="I715" s="90"/>
      <c r="J715" s="95">
        <v>1097000</v>
      </c>
      <c r="K715" s="90"/>
      <c r="L715" s="95">
        <v>207000</v>
      </c>
      <c r="M715" s="90"/>
      <c r="N715" s="95">
        <v>838000</v>
      </c>
      <c r="O715" s="90"/>
      <c r="P715" s="95">
        <v>467000</v>
      </c>
      <c r="Q715" s="90"/>
      <c r="R715" s="95">
        <v>0</v>
      </c>
    </row>
    <row r="716" spans="1:18" x14ac:dyDescent="0.15"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</row>
    <row r="717" spans="1:18" x14ac:dyDescent="0.15">
      <c r="E717" s="52" t="s">
        <v>3</v>
      </c>
      <c r="F717" s="94">
        <f>SUM(H717:L717)</f>
        <v>15250000</v>
      </c>
      <c r="G717" s="69"/>
      <c r="H717" s="94">
        <f>SUM(H707:H716)</f>
        <v>1879000</v>
      </c>
      <c r="I717" s="75"/>
      <c r="J717" s="94">
        <f>SUM(J707:J716)</f>
        <v>11927000</v>
      </c>
      <c r="K717" s="75"/>
      <c r="L717" s="94">
        <f>SUM(L707:L716)</f>
        <v>1444000</v>
      </c>
      <c r="M717" s="75"/>
      <c r="N717" s="94">
        <f>SUM(N707:N716)</f>
        <v>9278000</v>
      </c>
      <c r="O717" s="75"/>
      <c r="P717" s="94">
        <f>SUM(P707:P716)</f>
        <v>5987000</v>
      </c>
      <c r="Q717" s="75"/>
      <c r="R717" s="94">
        <f>SUM(R707:R716)</f>
        <v>15000</v>
      </c>
    </row>
    <row r="718" spans="1:18" x14ac:dyDescent="0.15"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</row>
    <row r="719" spans="1:18" x14ac:dyDescent="0.15">
      <c r="C719" s="52" t="s">
        <v>369</v>
      </c>
      <c r="D719" s="52"/>
      <c r="E719" s="91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</row>
    <row r="720" spans="1:18" x14ac:dyDescent="0.15">
      <c r="E720" s="52" t="s">
        <v>370</v>
      </c>
      <c r="F720" s="75">
        <f>SUM(H720:L720)</f>
        <v>107000</v>
      </c>
      <c r="G720" s="92"/>
      <c r="H720" s="90">
        <v>109000</v>
      </c>
      <c r="I720" s="93"/>
      <c r="J720" s="90">
        <v>-2000</v>
      </c>
      <c r="K720" s="93"/>
      <c r="L720" s="90">
        <v>0</v>
      </c>
      <c r="M720" s="93"/>
      <c r="N720" s="90">
        <v>73000</v>
      </c>
      <c r="O720" s="93"/>
      <c r="P720" s="90">
        <v>34000</v>
      </c>
      <c r="Q720" s="93"/>
      <c r="R720" s="90">
        <v>0</v>
      </c>
    </row>
    <row r="721" spans="1:18" x14ac:dyDescent="0.15">
      <c r="E721" s="52" t="s">
        <v>371</v>
      </c>
      <c r="F721" s="75">
        <f>SUM(H721:L721)</f>
        <v>45952000</v>
      </c>
      <c r="G721" s="92"/>
      <c r="H721" s="90">
        <v>0</v>
      </c>
      <c r="I721" s="93"/>
      <c r="J721" s="90">
        <v>30432000</v>
      </c>
      <c r="K721" s="93"/>
      <c r="L721" s="90">
        <v>15520000</v>
      </c>
      <c r="M721" s="93"/>
      <c r="N721" s="90">
        <v>17447000</v>
      </c>
      <c r="O721" s="93"/>
      <c r="P721" s="90">
        <v>28802000</v>
      </c>
      <c r="Q721" s="93"/>
      <c r="R721" s="90">
        <v>297000</v>
      </c>
    </row>
    <row r="722" spans="1:18" x14ac:dyDescent="0.15">
      <c r="E722" s="52" t="s">
        <v>372</v>
      </c>
      <c r="F722" s="94">
        <f>SUM(H722:L722)</f>
        <v>8596000</v>
      </c>
      <c r="G722" s="69"/>
      <c r="H722" s="95">
        <v>56000</v>
      </c>
      <c r="I722" s="90"/>
      <c r="J722" s="95">
        <v>8200000</v>
      </c>
      <c r="K722" s="90"/>
      <c r="L722" s="95">
        <v>340000</v>
      </c>
      <c r="M722" s="90"/>
      <c r="N722" s="95">
        <v>4242000</v>
      </c>
      <c r="O722" s="90"/>
      <c r="P722" s="95">
        <v>4449000</v>
      </c>
      <c r="Q722" s="90"/>
      <c r="R722" s="95">
        <v>95000</v>
      </c>
    </row>
    <row r="723" spans="1:18" x14ac:dyDescent="0.15"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</row>
    <row r="724" spans="1:18" x14ac:dyDescent="0.15">
      <c r="E724" s="52" t="s">
        <v>3</v>
      </c>
      <c r="F724" s="94">
        <f>SUM(H724:L724)</f>
        <v>54655000</v>
      </c>
      <c r="G724" s="69"/>
      <c r="H724" s="94">
        <f>SUM(H720:H723)</f>
        <v>165000</v>
      </c>
      <c r="I724" s="75"/>
      <c r="J724" s="94">
        <f>SUM(J720:J723)</f>
        <v>38630000</v>
      </c>
      <c r="K724" s="75"/>
      <c r="L724" s="94">
        <f>SUM(L720:L723)</f>
        <v>15860000</v>
      </c>
      <c r="M724" s="75"/>
      <c r="N724" s="94">
        <f>SUM(N720:N723)</f>
        <v>21762000</v>
      </c>
      <c r="O724" s="75"/>
      <c r="P724" s="94">
        <f>SUM(P720:P723)</f>
        <v>33285000</v>
      </c>
      <c r="Q724" s="75"/>
      <c r="R724" s="94">
        <f>SUM(R720:R723)</f>
        <v>392000</v>
      </c>
    </row>
    <row r="725" spans="1:18" x14ac:dyDescent="0.15"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</row>
    <row r="726" spans="1:18" x14ac:dyDescent="0.15">
      <c r="E726" s="52" t="s">
        <v>373</v>
      </c>
      <c r="F726" s="94">
        <f>SUM(H726:L726)</f>
        <v>74486000</v>
      </c>
      <c r="G726" s="69"/>
      <c r="H726" s="94">
        <f>+H698+H704+H717+H724</f>
        <v>2080000</v>
      </c>
      <c r="I726" s="75"/>
      <c r="J726" s="94">
        <f>+J698+J704+J717+J724</f>
        <v>54595000</v>
      </c>
      <c r="K726" s="75"/>
      <c r="L726" s="94">
        <f>+L698+L704+L717+L724</f>
        <v>17811000</v>
      </c>
      <c r="M726" s="75"/>
      <c r="N726" s="94">
        <f>+N698+N704+N717+N724</f>
        <v>33637000</v>
      </c>
      <c r="O726" s="75"/>
      <c r="P726" s="94">
        <f>+P698+P704+P717+P724</f>
        <v>41254000</v>
      </c>
      <c r="Q726" s="75"/>
      <c r="R726" s="94">
        <f>+R698+R704+R717+R724</f>
        <v>405000</v>
      </c>
    </row>
    <row r="727" spans="1:18" x14ac:dyDescent="0.15">
      <c r="A727" s="88"/>
      <c r="B727" s="88"/>
      <c r="C727" s="88"/>
      <c r="D727" s="88"/>
      <c r="E727" s="88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</row>
    <row r="728" spans="1:18" x14ac:dyDescent="0.15">
      <c r="A728" s="88"/>
      <c r="B728" s="53" t="s">
        <v>374</v>
      </c>
      <c r="C728" s="88"/>
      <c r="D728" s="88"/>
      <c r="E728" s="88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</row>
    <row r="729" spans="1:18" x14ac:dyDescent="0.15">
      <c r="B729" s="78"/>
      <c r="C729" s="53" t="s">
        <v>375</v>
      </c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</row>
    <row r="730" spans="1:18" x14ac:dyDescent="0.15">
      <c r="B730" s="52"/>
      <c r="C730" s="52" t="s">
        <v>376</v>
      </c>
      <c r="D730" s="86"/>
      <c r="E730" s="91"/>
      <c r="F730" s="75">
        <f t="shared" ref="F730:F734" si="30">SUM(H730:L730)</f>
        <v>2449000</v>
      </c>
      <c r="G730" s="92"/>
      <c r="H730" s="90">
        <v>1385000</v>
      </c>
      <c r="I730" s="93"/>
      <c r="J730" s="90">
        <v>766000</v>
      </c>
      <c r="K730" s="93"/>
      <c r="L730" s="90">
        <v>298000</v>
      </c>
      <c r="M730" s="93"/>
      <c r="N730" s="90">
        <v>1533000</v>
      </c>
      <c r="O730" s="93"/>
      <c r="P730" s="90">
        <v>916000</v>
      </c>
      <c r="Q730" s="93"/>
      <c r="R730" s="90">
        <v>0</v>
      </c>
    </row>
    <row r="731" spans="1:18" x14ac:dyDescent="0.15">
      <c r="C731" s="52" t="s">
        <v>377</v>
      </c>
      <c r="D731" s="52"/>
      <c r="E731" s="91"/>
      <c r="F731" s="75">
        <f t="shared" si="30"/>
        <v>770000</v>
      </c>
      <c r="G731" s="92"/>
      <c r="H731" s="90">
        <v>248000</v>
      </c>
      <c r="I731" s="93"/>
      <c r="J731" s="90">
        <v>14000</v>
      </c>
      <c r="K731" s="93"/>
      <c r="L731" s="90">
        <v>508000</v>
      </c>
      <c r="M731" s="93"/>
      <c r="N731" s="90">
        <v>314000</v>
      </c>
      <c r="O731" s="93"/>
      <c r="P731" s="90">
        <v>456000</v>
      </c>
      <c r="Q731" s="93"/>
      <c r="R731" s="90">
        <v>0</v>
      </c>
    </row>
    <row r="732" spans="1:18" x14ac:dyDescent="0.15">
      <c r="C732" s="52" t="s">
        <v>378</v>
      </c>
      <c r="D732" s="52"/>
      <c r="E732" s="91"/>
      <c r="F732" s="75">
        <f t="shared" si="30"/>
        <v>1129000</v>
      </c>
      <c r="G732" s="92"/>
      <c r="H732" s="90">
        <v>367000</v>
      </c>
      <c r="I732" s="93"/>
      <c r="J732" s="90">
        <v>397000</v>
      </c>
      <c r="K732" s="93"/>
      <c r="L732" s="90">
        <v>365000</v>
      </c>
      <c r="M732" s="93"/>
      <c r="N732" s="90">
        <v>675000</v>
      </c>
      <c r="O732" s="93"/>
      <c r="P732" s="90">
        <v>454000</v>
      </c>
      <c r="Q732" s="93"/>
      <c r="R732" s="90">
        <v>0</v>
      </c>
    </row>
    <row r="733" spans="1:18" x14ac:dyDescent="0.15">
      <c r="C733" s="52" t="s">
        <v>368</v>
      </c>
      <c r="D733" s="52"/>
      <c r="E733" s="91"/>
      <c r="F733" s="75">
        <f t="shared" si="30"/>
        <v>28000</v>
      </c>
      <c r="G733" s="92"/>
      <c r="H733" s="90">
        <v>0</v>
      </c>
      <c r="I733" s="93"/>
      <c r="J733" s="90">
        <v>0</v>
      </c>
      <c r="K733" s="93"/>
      <c r="L733" s="90">
        <v>28000</v>
      </c>
      <c r="M733" s="93"/>
      <c r="N733" s="90">
        <v>0</v>
      </c>
      <c r="O733" s="93"/>
      <c r="P733" s="90">
        <v>28000</v>
      </c>
      <c r="Q733" s="93"/>
      <c r="R733" s="90">
        <v>0</v>
      </c>
    </row>
    <row r="734" spans="1:18" x14ac:dyDescent="0.15">
      <c r="C734" s="52" t="s">
        <v>379</v>
      </c>
      <c r="D734" s="52"/>
      <c r="E734" s="91"/>
      <c r="F734" s="94">
        <f t="shared" si="30"/>
        <v>2881000</v>
      </c>
      <c r="G734" s="69"/>
      <c r="H734" s="95">
        <v>1304000</v>
      </c>
      <c r="I734" s="90"/>
      <c r="J734" s="95">
        <v>1514000</v>
      </c>
      <c r="K734" s="90"/>
      <c r="L734" s="95">
        <v>63000</v>
      </c>
      <c r="M734" s="90"/>
      <c r="N734" s="95">
        <v>2091000</v>
      </c>
      <c r="O734" s="90"/>
      <c r="P734" s="95">
        <v>790000</v>
      </c>
      <c r="Q734" s="90"/>
      <c r="R734" s="95">
        <v>0</v>
      </c>
    </row>
    <row r="735" spans="1:18" x14ac:dyDescent="0.15"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</row>
    <row r="736" spans="1:18" x14ac:dyDescent="0.15">
      <c r="E736" s="52" t="s">
        <v>3</v>
      </c>
      <c r="F736" s="94">
        <f>SUM(H736:L736)</f>
        <v>7257000</v>
      </c>
      <c r="G736" s="69"/>
      <c r="H736" s="94">
        <f>SUM(H730:H735)</f>
        <v>3304000</v>
      </c>
      <c r="I736" s="75"/>
      <c r="J736" s="94">
        <f>SUM(J730:J735)</f>
        <v>2691000</v>
      </c>
      <c r="K736" s="75"/>
      <c r="L736" s="94">
        <f>SUM(L730:L735)</f>
        <v>1262000</v>
      </c>
      <c r="M736" s="75"/>
      <c r="N736" s="94">
        <f>SUM(N730:N735)</f>
        <v>4613000</v>
      </c>
      <c r="O736" s="75"/>
      <c r="P736" s="94">
        <f>SUM(P730:P735)</f>
        <v>2644000</v>
      </c>
      <c r="Q736" s="75"/>
      <c r="R736" s="94">
        <f>SUM(R730:R735)</f>
        <v>0</v>
      </c>
    </row>
    <row r="737" spans="1:18" x14ac:dyDescent="0.15">
      <c r="A737" s="88"/>
      <c r="B737" s="88"/>
      <c r="C737" s="88"/>
      <c r="D737" s="88"/>
      <c r="E737" s="88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</row>
    <row r="738" spans="1:18" x14ac:dyDescent="0.15">
      <c r="A738" s="88"/>
      <c r="B738" s="53" t="s">
        <v>380</v>
      </c>
      <c r="C738" s="88"/>
      <c r="D738" s="88"/>
      <c r="E738" s="88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</row>
    <row r="739" spans="1:18" x14ac:dyDescent="0.15">
      <c r="B739" s="78"/>
      <c r="C739" s="53" t="s">
        <v>381</v>
      </c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</row>
    <row r="740" spans="1:18" x14ac:dyDescent="0.15">
      <c r="C740" s="53" t="s">
        <v>382</v>
      </c>
      <c r="F740" s="75">
        <f>SUM(H740:L740)</f>
        <v>3723000</v>
      </c>
      <c r="G740" s="92"/>
      <c r="H740" s="90">
        <v>16000</v>
      </c>
      <c r="I740" s="93"/>
      <c r="J740" s="90">
        <v>3239000</v>
      </c>
      <c r="K740" s="93"/>
      <c r="L740" s="90">
        <v>468000</v>
      </c>
      <c r="M740" s="93"/>
      <c r="N740" s="90">
        <v>2326000</v>
      </c>
      <c r="O740" s="93"/>
      <c r="P740" s="90">
        <v>1397000</v>
      </c>
      <c r="Q740" s="93"/>
      <c r="R740" s="90">
        <v>0</v>
      </c>
    </row>
    <row r="741" spans="1:18" x14ac:dyDescent="0.15">
      <c r="C741" s="52" t="s">
        <v>383</v>
      </c>
      <c r="F741" s="75">
        <f>SUM(H741:L741)</f>
        <v>3345000</v>
      </c>
      <c r="G741" s="92"/>
      <c r="H741" s="90">
        <v>1770000</v>
      </c>
      <c r="I741" s="93"/>
      <c r="J741" s="90">
        <v>710000</v>
      </c>
      <c r="K741" s="93"/>
      <c r="L741" s="90">
        <v>865000</v>
      </c>
      <c r="M741" s="93"/>
      <c r="N741" s="90">
        <v>2312000</v>
      </c>
      <c r="O741" s="93"/>
      <c r="P741" s="90">
        <v>1033000</v>
      </c>
      <c r="Q741" s="93"/>
      <c r="R741" s="90">
        <v>0</v>
      </c>
    </row>
    <row r="742" spans="1:18" x14ac:dyDescent="0.15">
      <c r="C742" s="52" t="s">
        <v>384</v>
      </c>
      <c r="G742" s="69"/>
      <c r="H742" s="90"/>
      <c r="I742" s="90"/>
      <c r="J742" s="90"/>
      <c r="K742" s="90"/>
      <c r="L742" s="90"/>
      <c r="M742" s="90"/>
      <c r="N742" s="90"/>
      <c r="O742" s="90"/>
      <c r="P742" s="90"/>
      <c r="Q742" s="90"/>
      <c r="R742" s="90"/>
    </row>
    <row r="743" spans="1:18" x14ac:dyDescent="0.15">
      <c r="C743" s="52"/>
      <c r="E743" s="52" t="s">
        <v>385</v>
      </c>
      <c r="F743" s="94">
        <f>SUM(H743:L743)</f>
        <v>943000</v>
      </c>
      <c r="G743" s="69"/>
      <c r="H743" s="95">
        <v>5000</v>
      </c>
      <c r="I743" s="90"/>
      <c r="J743" s="95">
        <v>937000</v>
      </c>
      <c r="K743" s="90"/>
      <c r="L743" s="95">
        <v>1000</v>
      </c>
      <c r="M743" s="90"/>
      <c r="N743" s="95">
        <v>1616000</v>
      </c>
      <c r="O743" s="90"/>
      <c r="P743" s="95">
        <v>1014000</v>
      </c>
      <c r="Q743" s="90"/>
      <c r="R743" s="95">
        <v>1687000</v>
      </c>
    </row>
    <row r="744" spans="1:18" x14ac:dyDescent="0.15"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</row>
    <row r="745" spans="1:18" x14ac:dyDescent="0.15">
      <c r="E745" s="52" t="s">
        <v>3</v>
      </c>
      <c r="F745" s="94">
        <f>SUM(H745:L745)</f>
        <v>8011000</v>
      </c>
      <c r="G745" s="69"/>
      <c r="H745" s="94">
        <f>SUM(H739:H744)</f>
        <v>1791000</v>
      </c>
      <c r="I745" s="75"/>
      <c r="J745" s="94">
        <f>SUM(J739:J744)</f>
        <v>4886000</v>
      </c>
      <c r="K745" s="75"/>
      <c r="L745" s="94">
        <f>SUM(L739:L744)</f>
        <v>1334000</v>
      </c>
      <c r="M745" s="75"/>
      <c r="N745" s="94">
        <f>SUM(N739:N744)</f>
        <v>6254000</v>
      </c>
      <c r="O745" s="75"/>
      <c r="P745" s="94">
        <f>SUM(P739:P744)</f>
        <v>3444000</v>
      </c>
      <c r="Q745" s="75"/>
      <c r="R745" s="94">
        <f>SUM(R739:R744)</f>
        <v>1687000</v>
      </c>
    </row>
    <row r="746" spans="1:18" x14ac:dyDescent="0.15">
      <c r="A746" s="88"/>
      <c r="B746" s="88"/>
      <c r="C746" s="88"/>
      <c r="D746" s="88"/>
      <c r="E746" s="88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</row>
    <row r="747" spans="1:18" ht="20.25" customHeight="1" x14ac:dyDescent="0.15">
      <c r="B747" s="53" t="s">
        <v>386</v>
      </c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</row>
    <row r="748" spans="1:18" x14ac:dyDescent="0.15">
      <c r="C748" s="52" t="s">
        <v>387</v>
      </c>
      <c r="D748" s="52"/>
      <c r="E748" s="91"/>
      <c r="F748" s="75">
        <f>SUM(H748:L748)</f>
        <v>4717000</v>
      </c>
      <c r="G748" s="92"/>
      <c r="H748" s="90">
        <v>4303000</v>
      </c>
      <c r="I748" s="93"/>
      <c r="J748" s="90">
        <v>-74000</v>
      </c>
      <c r="K748" s="93"/>
      <c r="L748" s="90">
        <v>488000</v>
      </c>
      <c r="M748" s="93"/>
      <c r="N748" s="90">
        <v>3713000</v>
      </c>
      <c r="O748" s="93"/>
      <c r="P748" s="90">
        <v>1004000</v>
      </c>
      <c r="Q748" s="93"/>
      <c r="R748" s="90">
        <v>0</v>
      </c>
    </row>
    <row r="749" spans="1:18" x14ac:dyDescent="0.15">
      <c r="C749" s="52" t="s">
        <v>388</v>
      </c>
      <c r="D749" s="52"/>
      <c r="E749" s="91"/>
      <c r="F749" s="94">
        <f>SUM(H749:L749)</f>
        <v>154000</v>
      </c>
      <c r="G749" s="69"/>
      <c r="H749" s="95">
        <v>30000</v>
      </c>
      <c r="I749" s="90"/>
      <c r="J749" s="95">
        <v>62000</v>
      </c>
      <c r="K749" s="90"/>
      <c r="L749" s="95">
        <v>62000</v>
      </c>
      <c r="M749" s="90"/>
      <c r="N749" s="95">
        <v>26000</v>
      </c>
      <c r="O749" s="90"/>
      <c r="P749" s="95">
        <v>128000</v>
      </c>
      <c r="Q749" s="90"/>
      <c r="R749" s="95">
        <v>0</v>
      </c>
    </row>
    <row r="750" spans="1:18" x14ac:dyDescent="0.15"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</row>
    <row r="751" spans="1:18" x14ac:dyDescent="0.15">
      <c r="E751" s="52" t="s">
        <v>3</v>
      </c>
      <c r="F751" s="94">
        <f>SUM(H751:L751)</f>
        <v>4871000</v>
      </c>
      <c r="G751" s="69"/>
      <c r="H751" s="94">
        <f>SUM(H748:H750)</f>
        <v>4333000</v>
      </c>
      <c r="I751" s="75"/>
      <c r="J751" s="94">
        <f>SUM(J748:J750)</f>
        <v>-12000</v>
      </c>
      <c r="K751" s="75"/>
      <c r="L751" s="94">
        <f>SUM(L748:L750)</f>
        <v>550000</v>
      </c>
      <c r="M751" s="75"/>
      <c r="N751" s="94">
        <f>SUM(N748:N750)</f>
        <v>3739000</v>
      </c>
      <c r="O751" s="75"/>
      <c r="P751" s="94">
        <f>SUM(P748:P750)</f>
        <v>1132000</v>
      </c>
      <c r="Q751" s="75"/>
      <c r="R751" s="94">
        <f>SUM(R748:R750)</f>
        <v>0</v>
      </c>
    </row>
    <row r="752" spans="1:18" x14ac:dyDescent="0.15">
      <c r="A752" s="88"/>
      <c r="B752" s="88"/>
      <c r="C752" s="88"/>
      <c r="D752" s="88"/>
      <c r="E752" s="88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</row>
    <row r="753" spans="1:18" x14ac:dyDescent="0.15">
      <c r="A753" s="88"/>
      <c r="B753" s="53" t="s">
        <v>389</v>
      </c>
      <c r="E753" s="88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</row>
    <row r="754" spans="1:18" x14ac:dyDescent="0.15">
      <c r="A754" s="88"/>
      <c r="C754" s="78" t="s">
        <v>390</v>
      </c>
      <c r="E754" s="88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</row>
    <row r="755" spans="1:18" x14ac:dyDescent="0.15">
      <c r="A755" s="88"/>
      <c r="C755" s="53" t="s">
        <v>391</v>
      </c>
      <c r="E755" s="88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</row>
    <row r="756" spans="1:18" x14ac:dyDescent="0.15">
      <c r="A756" s="88"/>
      <c r="E756" s="88" t="s">
        <v>392</v>
      </c>
      <c r="F756" s="75">
        <f>SUM(H756:L756)</f>
        <v>650000</v>
      </c>
      <c r="G756" s="92"/>
      <c r="H756" s="90">
        <v>643000</v>
      </c>
      <c r="I756" s="93"/>
      <c r="J756" s="90">
        <v>7000</v>
      </c>
      <c r="K756" s="93"/>
      <c r="L756" s="90">
        <v>0</v>
      </c>
      <c r="M756" s="93"/>
      <c r="N756" s="90">
        <v>418000</v>
      </c>
      <c r="O756" s="93"/>
      <c r="P756" s="90">
        <v>232000</v>
      </c>
      <c r="Q756" s="93"/>
      <c r="R756" s="90">
        <v>0</v>
      </c>
    </row>
    <row r="757" spans="1:18" x14ac:dyDescent="0.15">
      <c r="A757" s="88"/>
      <c r="C757" s="53" t="s">
        <v>393</v>
      </c>
      <c r="E757" s="88"/>
      <c r="F757" s="90"/>
      <c r="G757" s="90"/>
      <c r="H757" s="90"/>
      <c r="I757" s="90"/>
      <c r="J757" s="90"/>
      <c r="K757" s="90"/>
      <c r="L757" s="90"/>
      <c r="M757" s="90"/>
      <c r="N757" s="90"/>
      <c r="O757" s="90"/>
      <c r="P757" s="90"/>
      <c r="Q757" s="90"/>
      <c r="R757" s="90"/>
    </row>
    <row r="758" spans="1:18" x14ac:dyDescent="0.15">
      <c r="A758" s="88"/>
      <c r="E758" s="88" t="s">
        <v>394</v>
      </c>
      <c r="F758" s="75">
        <f>SUM(H758:L758)</f>
        <v>3784000</v>
      </c>
      <c r="G758" s="92"/>
      <c r="H758" s="90">
        <v>3743000</v>
      </c>
      <c r="I758" s="93"/>
      <c r="J758" s="90">
        <v>47000</v>
      </c>
      <c r="K758" s="93"/>
      <c r="L758" s="90">
        <v>-6000</v>
      </c>
      <c r="M758" s="93"/>
      <c r="N758" s="90">
        <v>2456000</v>
      </c>
      <c r="O758" s="93"/>
      <c r="P758" s="90">
        <v>1328000</v>
      </c>
      <c r="Q758" s="93"/>
      <c r="R758" s="90">
        <v>0</v>
      </c>
    </row>
    <row r="759" spans="1:18" x14ac:dyDescent="0.15">
      <c r="A759" s="88"/>
      <c r="C759" s="53" t="s">
        <v>395</v>
      </c>
      <c r="E759" s="88"/>
      <c r="F759" s="94">
        <f>SUM(H759:L759)</f>
        <v>3423000</v>
      </c>
      <c r="G759" s="69"/>
      <c r="H759" s="95">
        <v>1580000</v>
      </c>
      <c r="I759" s="90"/>
      <c r="J759" s="95">
        <v>1818000</v>
      </c>
      <c r="K759" s="90"/>
      <c r="L759" s="95">
        <v>25000</v>
      </c>
      <c r="M759" s="90"/>
      <c r="N759" s="95">
        <v>2159000</v>
      </c>
      <c r="O759" s="90"/>
      <c r="P759" s="95">
        <v>1264000</v>
      </c>
      <c r="Q759" s="90"/>
      <c r="R759" s="95">
        <v>0</v>
      </c>
    </row>
    <row r="760" spans="1:18" x14ac:dyDescent="0.15">
      <c r="A760" s="88"/>
      <c r="E760" s="88"/>
      <c r="F760" s="90"/>
      <c r="G760" s="90"/>
      <c r="H760" s="90"/>
      <c r="I760" s="90"/>
      <c r="J760" s="90"/>
      <c r="K760" s="90"/>
      <c r="L760" s="90"/>
      <c r="M760" s="90"/>
      <c r="N760" s="90"/>
      <c r="O760" s="90"/>
      <c r="P760" s="90"/>
      <c r="Q760" s="69"/>
      <c r="R760" s="90"/>
    </row>
    <row r="761" spans="1:18" x14ac:dyDescent="0.15">
      <c r="B761" s="78"/>
      <c r="C761" s="86"/>
      <c r="D761" s="78"/>
      <c r="E761" s="52" t="s">
        <v>3</v>
      </c>
      <c r="F761" s="94">
        <f>SUM(H761:L761)</f>
        <v>7857000</v>
      </c>
      <c r="G761" s="69"/>
      <c r="H761" s="95">
        <f>SUM(H756:H759)</f>
        <v>5966000</v>
      </c>
      <c r="I761" s="90"/>
      <c r="J761" s="95">
        <f>SUM(J756:J759)</f>
        <v>1872000</v>
      </c>
      <c r="K761" s="90"/>
      <c r="L761" s="95">
        <f>SUM(L756:L759)</f>
        <v>19000</v>
      </c>
      <c r="M761" s="90"/>
      <c r="N761" s="95">
        <f>SUM(N756:N759)</f>
        <v>5033000</v>
      </c>
      <c r="O761" s="90"/>
      <c r="P761" s="95">
        <f>SUM(P756:P759)</f>
        <v>2824000</v>
      </c>
      <c r="Q761" s="90"/>
      <c r="R761" s="95">
        <f>SUM(R756:R759)</f>
        <v>0</v>
      </c>
    </row>
    <row r="762" spans="1:18" x14ac:dyDescent="0.15"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</row>
    <row r="763" spans="1:18" x14ac:dyDescent="0.15">
      <c r="B763" s="53" t="s">
        <v>396</v>
      </c>
      <c r="F763" s="94">
        <f>SUM(H763:L763)</f>
        <v>77007000</v>
      </c>
      <c r="G763" s="69"/>
      <c r="H763" s="95">
        <v>-16000</v>
      </c>
      <c r="I763" s="90"/>
      <c r="J763" s="95">
        <v>76654000</v>
      </c>
      <c r="K763" s="90"/>
      <c r="L763" s="95">
        <v>369000</v>
      </c>
      <c r="M763" s="90"/>
      <c r="N763" s="95">
        <v>16960000</v>
      </c>
      <c r="O763" s="90"/>
      <c r="P763" s="95">
        <v>71554000</v>
      </c>
      <c r="Q763" s="90"/>
      <c r="R763" s="95">
        <v>11507000</v>
      </c>
    </row>
    <row r="764" spans="1:18" x14ac:dyDescent="0.15">
      <c r="G764" s="69"/>
      <c r="H764" s="90"/>
      <c r="I764" s="90"/>
      <c r="J764" s="90"/>
      <c r="K764" s="90"/>
      <c r="L764" s="90"/>
      <c r="M764" s="90"/>
      <c r="N764" s="90"/>
      <c r="O764" s="90"/>
      <c r="P764" s="90"/>
      <c r="Q764" s="90"/>
      <c r="R764" s="90"/>
    </row>
    <row r="765" spans="1:18" x14ac:dyDescent="0.15">
      <c r="B765" s="53" t="s">
        <v>397</v>
      </c>
      <c r="F765" s="94">
        <f>SUM(H765:L765)</f>
        <v>12772000</v>
      </c>
      <c r="G765" s="69"/>
      <c r="H765" s="95">
        <v>1000</v>
      </c>
      <c r="I765" s="90"/>
      <c r="J765" s="95">
        <v>12740000</v>
      </c>
      <c r="K765" s="90"/>
      <c r="L765" s="95">
        <v>31000</v>
      </c>
      <c r="M765" s="90"/>
      <c r="N765" s="95">
        <v>5911000</v>
      </c>
      <c r="O765" s="90"/>
      <c r="P765" s="95">
        <v>6861000</v>
      </c>
      <c r="Q765" s="90"/>
      <c r="R765" s="95">
        <v>0</v>
      </c>
    </row>
    <row r="766" spans="1:18" x14ac:dyDescent="0.15">
      <c r="A766" s="88"/>
      <c r="B766" s="88"/>
      <c r="C766" s="88"/>
      <c r="D766" s="88"/>
      <c r="E766" s="88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</row>
    <row r="767" spans="1:18" x14ac:dyDescent="0.15">
      <c r="A767" s="88"/>
      <c r="B767" s="88" t="s">
        <v>398</v>
      </c>
      <c r="C767" s="88"/>
      <c r="D767" s="88"/>
      <c r="E767" s="88"/>
      <c r="F767" s="94">
        <f>SUM(H767:L767)</f>
        <v>5700000</v>
      </c>
      <c r="G767" s="69"/>
      <c r="H767" s="95">
        <v>-15987000</v>
      </c>
      <c r="I767" s="90"/>
      <c r="J767" s="95">
        <v>20699000</v>
      </c>
      <c r="K767" s="90"/>
      <c r="L767" s="95">
        <v>988000</v>
      </c>
      <c r="M767" s="90"/>
      <c r="N767" s="95">
        <v>8754000</v>
      </c>
      <c r="O767" s="90"/>
      <c r="P767" s="95">
        <v>-3054000</v>
      </c>
      <c r="Q767" s="90"/>
      <c r="R767" s="95">
        <v>0</v>
      </c>
    </row>
    <row r="768" spans="1:18" x14ac:dyDescent="0.15">
      <c r="A768" s="88"/>
      <c r="B768" s="88"/>
      <c r="C768" s="88"/>
      <c r="D768" s="88"/>
      <c r="E768" s="88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</row>
    <row r="769" spans="1:18" x14ac:dyDescent="0.15">
      <c r="A769" s="88"/>
      <c r="B769" s="53" t="s">
        <v>399</v>
      </c>
      <c r="C769" s="88"/>
      <c r="D769" s="88"/>
      <c r="E769" s="88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</row>
    <row r="770" spans="1:18" x14ac:dyDescent="0.15">
      <c r="B770" s="78"/>
      <c r="C770" s="53" t="s">
        <v>400</v>
      </c>
      <c r="F770" s="94">
        <f>SUM(H770:L770)</f>
        <v>384000</v>
      </c>
      <c r="G770" s="69"/>
      <c r="H770" s="95">
        <v>-813000</v>
      </c>
      <c r="I770" s="90"/>
      <c r="J770" s="95">
        <v>1180000</v>
      </c>
      <c r="K770" s="90"/>
      <c r="L770" s="95">
        <v>17000</v>
      </c>
      <c r="M770" s="90"/>
      <c r="N770" s="95">
        <v>403000</v>
      </c>
      <c r="O770" s="90"/>
      <c r="P770" s="95">
        <v>-19000</v>
      </c>
      <c r="Q770" s="90"/>
      <c r="R770" s="95">
        <v>0</v>
      </c>
    </row>
    <row r="771" spans="1:18" x14ac:dyDescent="0.15">
      <c r="A771" s="88"/>
      <c r="B771" s="88"/>
      <c r="C771" s="88"/>
      <c r="D771" s="88"/>
      <c r="E771" s="88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</row>
    <row r="772" spans="1:18" x14ac:dyDescent="0.15">
      <c r="E772" s="52" t="s">
        <v>401</v>
      </c>
      <c r="F772" s="94">
        <f>SUM(H772:L772)</f>
        <v>203021000</v>
      </c>
      <c r="G772" s="69"/>
      <c r="H772" s="94">
        <f>+H694+H726+H736+H745+H751+H761+H763+H765+H770+H767</f>
        <v>685000</v>
      </c>
      <c r="I772" s="75"/>
      <c r="J772" s="94">
        <f>+J694+J726+J736+J745+J751+J761+J763+J765+J770+J767</f>
        <v>179574000</v>
      </c>
      <c r="K772" s="75"/>
      <c r="L772" s="94">
        <f>+L694+L726+L736+L745+L751+L761+L763+L765+L770+L767</f>
        <v>22762000</v>
      </c>
      <c r="M772" s="75"/>
      <c r="N772" s="94">
        <f>+N694+N726+N736+N745+N751+N761+N763+N765+N770+N767</f>
        <v>91548000</v>
      </c>
      <c r="O772" s="75"/>
      <c r="P772" s="94">
        <f>+P694+P726+P736+P745+P751+P761+P763+P765+P770+P767</f>
        <v>131217000</v>
      </c>
      <c r="Q772" s="75"/>
      <c r="R772" s="94">
        <f>+R694+R726+R736+R745+R751+R761+R763+R765+R770+R767</f>
        <v>19744000</v>
      </c>
    </row>
    <row r="773" spans="1:18" x14ac:dyDescent="0.15">
      <c r="G773" s="69"/>
      <c r="H773" s="75"/>
      <c r="I773" s="75"/>
      <c r="J773" s="75"/>
      <c r="K773" s="75"/>
      <c r="L773" s="75"/>
      <c r="M773" s="75"/>
      <c r="N773" s="75"/>
      <c r="O773" s="75"/>
      <c r="P773" s="75"/>
      <c r="Q773" s="75"/>
      <c r="R773" s="75"/>
    </row>
    <row r="774" spans="1:18" x14ac:dyDescent="0.15">
      <c r="A774" s="79" t="s">
        <v>402</v>
      </c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</row>
    <row r="775" spans="1:18" x14ac:dyDescent="0.15">
      <c r="A775" s="88"/>
      <c r="B775" s="88"/>
      <c r="C775" s="88"/>
      <c r="D775" s="88"/>
      <c r="E775" s="88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</row>
    <row r="776" spans="1:18" x14ac:dyDescent="0.15">
      <c r="B776" s="53" t="s">
        <v>403</v>
      </c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</row>
    <row r="777" spans="1:18" x14ac:dyDescent="0.15">
      <c r="C777" s="53" t="s">
        <v>404</v>
      </c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</row>
    <row r="778" spans="1:18" x14ac:dyDescent="0.15">
      <c r="E778" s="52" t="s">
        <v>405</v>
      </c>
      <c r="F778" s="75">
        <f>SUM(H778:L778)</f>
        <v>1507000</v>
      </c>
      <c r="G778" s="92"/>
      <c r="H778" s="90">
        <v>1248000</v>
      </c>
      <c r="I778" s="93"/>
      <c r="J778" s="90">
        <v>259000</v>
      </c>
      <c r="K778" s="93"/>
      <c r="L778" s="90">
        <v>0</v>
      </c>
      <c r="M778" s="93"/>
      <c r="N778" s="90">
        <v>865000</v>
      </c>
      <c r="O778" s="93"/>
      <c r="P778" s="90">
        <v>642000</v>
      </c>
      <c r="Q778" s="93"/>
      <c r="R778" s="90">
        <v>0</v>
      </c>
    </row>
    <row r="779" spans="1:18" x14ac:dyDescent="0.15">
      <c r="E779" s="52" t="s">
        <v>406</v>
      </c>
      <c r="G779" s="69"/>
      <c r="H779" s="90"/>
      <c r="I779" s="90"/>
      <c r="J779" s="90"/>
      <c r="K779" s="90"/>
      <c r="L779" s="90"/>
      <c r="M779" s="90"/>
      <c r="N779" s="90"/>
      <c r="O779" s="90"/>
      <c r="P779" s="90"/>
      <c r="Q779" s="90"/>
      <c r="R779" s="90"/>
    </row>
    <row r="780" spans="1:18" x14ac:dyDescent="0.15">
      <c r="E780" s="52" t="s">
        <v>407</v>
      </c>
      <c r="F780" s="75">
        <f>SUM(H780:L780)</f>
        <v>270000</v>
      </c>
      <c r="G780" s="92"/>
      <c r="H780" s="90">
        <v>1000</v>
      </c>
      <c r="I780" s="93"/>
      <c r="J780" s="90">
        <v>269000</v>
      </c>
      <c r="K780" s="93"/>
      <c r="L780" s="90">
        <v>0</v>
      </c>
      <c r="M780" s="93"/>
      <c r="N780" s="90">
        <v>181000</v>
      </c>
      <c r="O780" s="93"/>
      <c r="P780" s="90">
        <v>89000</v>
      </c>
      <c r="Q780" s="93"/>
      <c r="R780" s="90">
        <v>0</v>
      </c>
    </row>
    <row r="781" spans="1:18" x14ac:dyDescent="0.15">
      <c r="E781" s="52" t="s">
        <v>408</v>
      </c>
      <c r="G781" s="69"/>
      <c r="H781" s="90"/>
      <c r="I781" s="90"/>
      <c r="J781" s="90"/>
      <c r="K781" s="90"/>
      <c r="L781" s="90"/>
      <c r="M781" s="90"/>
      <c r="N781" s="90"/>
      <c r="O781" s="90"/>
      <c r="P781" s="90"/>
      <c r="Q781" s="90"/>
      <c r="R781" s="90"/>
    </row>
    <row r="782" spans="1:18" x14ac:dyDescent="0.15">
      <c r="E782" s="52" t="s">
        <v>409</v>
      </c>
      <c r="F782" s="75">
        <f>SUM(H782:L782)</f>
        <v>-3313000</v>
      </c>
      <c r="G782" s="92"/>
      <c r="H782" s="90">
        <v>0</v>
      </c>
      <c r="I782" s="93"/>
      <c r="J782" s="90">
        <v>-3313000</v>
      </c>
      <c r="K782" s="93"/>
      <c r="L782" s="90">
        <v>0</v>
      </c>
      <c r="M782" s="93"/>
      <c r="N782" s="90">
        <v>0</v>
      </c>
      <c r="O782" s="93"/>
      <c r="P782" s="90">
        <v>-3313000</v>
      </c>
      <c r="Q782" s="93"/>
      <c r="R782" s="90">
        <v>0</v>
      </c>
    </row>
    <row r="783" spans="1:18" x14ac:dyDescent="0.15">
      <c r="E783" s="52" t="s">
        <v>410</v>
      </c>
      <c r="F783" s="75">
        <f>SUM(H783:L783)</f>
        <v>7543000</v>
      </c>
      <c r="G783" s="92"/>
      <c r="H783" s="90">
        <v>4031000</v>
      </c>
      <c r="I783" s="93"/>
      <c r="J783" s="90">
        <v>3485000</v>
      </c>
      <c r="K783" s="93"/>
      <c r="L783" s="90">
        <v>27000</v>
      </c>
      <c r="M783" s="93"/>
      <c r="N783" s="90">
        <v>3495000</v>
      </c>
      <c r="O783" s="93"/>
      <c r="P783" s="90">
        <v>4063000</v>
      </c>
      <c r="Q783" s="93"/>
      <c r="R783" s="90">
        <v>15000</v>
      </c>
    </row>
    <row r="784" spans="1:18" x14ac:dyDescent="0.15">
      <c r="E784" s="52" t="s">
        <v>411</v>
      </c>
      <c r="F784" s="75">
        <f>SUM(H784:L784)</f>
        <v>546000</v>
      </c>
      <c r="G784" s="92"/>
      <c r="H784" s="90">
        <v>377000</v>
      </c>
      <c r="I784" s="93"/>
      <c r="J784" s="90">
        <v>169000</v>
      </c>
      <c r="K784" s="93"/>
      <c r="L784" s="90">
        <v>0</v>
      </c>
      <c r="M784" s="93"/>
      <c r="N784" s="90">
        <v>307000</v>
      </c>
      <c r="O784" s="93"/>
      <c r="P784" s="90">
        <v>239000</v>
      </c>
      <c r="Q784" s="93"/>
      <c r="R784" s="90">
        <v>0</v>
      </c>
    </row>
    <row r="785" spans="1:18" x14ac:dyDescent="0.15">
      <c r="E785" s="52" t="s">
        <v>412</v>
      </c>
    </row>
    <row r="786" spans="1:18" x14ac:dyDescent="0.15">
      <c r="E786" s="52" t="s">
        <v>413</v>
      </c>
      <c r="F786" s="75">
        <f>SUM(H786:L786)</f>
        <v>2658000</v>
      </c>
      <c r="G786" s="92"/>
      <c r="H786" s="86">
        <v>1973000</v>
      </c>
      <c r="J786" s="86">
        <v>682000</v>
      </c>
      <c r="L786" s="86">
        <v>3000</v>
      </c>
      <c r="N786" s="86">
        <v>1457000</v>
      </c>
      <c r="P786" s="86">
        <v>1201000</v>
      </c>
      <c r="R786" s="86">
        <v>0</v>
      </c>
    </row>
    <row r="787" spans="1:18" x14ac:dyDescent="0.15">
      <c r="A787" s="86"/>
      <c r="B787" s="86"/>
      <c r="C787" s="86"/>
      <c r="D787" s="86"/>
      <c r="E787" s="52" t="s">
        <v>414</v>
      </c>
      <c r="G787" s="69"/>
      <c r="H787" s="90"/>
      <c r="I787" s="90"/>
      <c r="J787" s="90"/>
      <c r="K787" s="90"/>
      <c r="L787" s="90"/>
      <c r="M787" s="90"/>
      <c r="N787" s="90"/>
      <c r="O787" s="90"/>
      <c r="P787" s="90"/>
      <c r="Q787" s="90"/>
      <c r="R787" s="90"/>
    </row>
    <row r="788" spans="1:18" x14ac:dyDescent="0.15">
      <c r="A788" s="86"/>
      <c r="B788" s="86"/>
      <c r="C788" s="86"/>
      <c r="D788" s="86"/>
      <c r="E788" s="52" t="s">
        <v>415</v>
      </c>
      <c r="F788" s="75">
        <f>SUM(H788:L788)</f>
        <v>2974000</v>
      </c>
      <c r="G788" s="92"/>
      <c r="H788" s="90">
        <v>1000</v>
      </c>
      <c r="I788" s="93"/>
      <c r="J788" s="90">
        <v>2973000</v>
      </c>
      <c r="K788" s="93"/>
      <c r="L788" s="90">
        <v>0</v>
      </c>
      <c r="M788" s="93"/>
      <c r="N788" s="90">
        <v>1450000</v>
      </c>
      <c r="O788" s="93"/>
      <c r="P788" s="90">
        <v>1524000</v>
      </c>
      <c r="Q788" s="93"/>
      <c r="R788" s="90">
        <v>0</v>
      </c>
    </row>
    <row r="789" spans="1:18" x14ac:dyDescent="0.15">
      <c r="A789" s="86"/>
      <c r="B789" s="86"/>
      <c r="C789" s="86"/>
      <c r="D789" s="86"/>
      <c r="E789" s="52" t="s">
        <v>416</v>
      </c>
      <c r="F789" s="75">
        <f>SUM(H789:L789)</f>
        <v>1000</v>
      </c>
      <c r="G789" s="92"/>
      <c r="H789" s="90">
        <v>1000</v>
      </c>
      <c r="I789" s="93"/>
      <c r="J789" s="90">
        <v>0</v>
      </c>
      <c r="K789" s="93"/>
      <c r="L789" s="90">
        <v>0</v>
      </c>
      <c r="M789" s="93"/>
      <c r="N789" s="90">
        <v>0</v>
      </c>
      <c r="O789" s="93"/>
      <c r="P789" s="90">
        <v>1000</v>
      </c>
      <c r="Q789" s="93"/>
      <c r="R789" s="90">
        <v>0</v>
      </c>
    </row>
    <row r="790" spans="1:18" x14ac:dyDescent="0.15">
      <c r="A790" s="86"/>
      <c r="B790" s="86"/>
      <c r="C790" s="86"/>
      <c r="D790" s="86"/>
      <c r="E790" s="52" t="s">
        <v>417</v>
      </c>
      <c r="F790" s="75">
        <f>SUM(H790:L790)</f>
        <v>157000</v>
      </c>
      <c r="G790" s="92"/>
      <c r="H790" s="90">
        <v>0</v>
      </c>
      <c r="I790" s="93"/>
      <c r="J790" s="90">
        <v>157000</v>
      </c>
      <c r="K790" s="93"/>
      <c r="L790" s="90">
        <v>0</v>
      </c>
      <c r="M790" s="93"/>
      <c r="N790" s="90">
        <v>150000</v>
      </c>
      <c r="O790" s="93"/>
      <c r="P790" s="90">
        <v>79000</v>
      </c>
      <c r="Q790" s="93"/>
      <c r="R790" s="90">
        <v>72000</v>
      </c>
    </row>
    <row r="791" spans="1:18" x14ac:dyDescent="0.15">
      <c r="A791" s="86"/>
      <c r="B791" s="86"/>
      <c r="C791" s="86"/>
      <c r="D791" s="86"/>
      <c r="E791" s="52" t="s">
        <v>418</v>
      </c>
      <c r="G791" s="69"/>
      <c r="H791" s="90"/>
      <c r="I791" s="90"/>
      <c r="J791" s="90"/>
      <c r="K791" s="90"/>
      <c r="L791" s="90"/>
      <c r="M791" s="90"/>
      <c r="N791" s="90"/>
      <c r="O791" s="90"/>
      <c r="P791" s="90"/>
      <c r="Q791" s="90"/>
      <c r="R791" s="90"/>
    </row>
    <row r="792" spans="1:18" x14ac:dyDescent="0.15">
      <c r="A792" s="86"/>
      <c r="B792" s="86"/>
      <c r="C792" s="86"/>
      <c r="D792" s="86"/>
      <c r="E792" s="52" t="s">
        <v>419</v>
      </c>
      <c r="F792" s="75">
        <f>SUM(H792:L792)</f>
        <v>1484000</v>
      </c>
      <c r="G792" s="92"/>
      <c r="H792" s="90">
        <v>1218000</v>
      </c>
      <c r="I792" s="93"/>
      <c r="J792" s="90">
        <v>266000</v>
      </c>
      <c r="K792" s="93"/>
      <c r="L792" s="90">
        <v>0</v>
      </c>
      <c r="M792" s="93"/>
      <c r="N792" s="90">
        <v>803000</v>
      </c>
      <c r="O792" s="93"/>
      <c r="P792" s="90">
        <v>681000</v>
      </c>
      <c r="Q792" s="93"/>
      <c r="R792" s="90">
        <v>0</v>
      </c>
    </row>
    <row r="793" spans="1:18" x14ac:dyDescent="0.15">
      <c r="A793" s="86"/>
      <c r="B793" s="86"/>
      <c r="C793" s="86"/>
      <c r="D793" s="86"/>
      <c r="E793" s="52" t="s">
        <v>420</v>
      </c>
      <c r="F793" s="75">
        <f>SUM(H793:L793)</f>
        <v>461000</v>
      </c>
      <c r="G793" s="92"/>
      <c r="H793" s="90">
        <v>445000</v>
      </c>
      <c r="I793" s="93"/>
      <c r="J793" s="90">
        <v>16000</v>
      </c>
      <c r="K793" s="93"/>
      <c r="L793" s="90">
        <v>0</v>
      </c>
      <c r="M793" s="93"/>
      <c r="N793" s="90">
        <v>306000</v>
      </c>
      <c r="O793" s="93"/>
      <c r="P793" s="90">
        <v>155000</v>
      </c>
      <c r="Q793" s="93"/>
      <c r="R793" s="90">
        <v>0</v>
      </c>
    </row>
    <row r="794" spans="1:18" x14ac:dyDescent="0.15">
      <c r="A794" s="86"/>
      <c r="B794" s="86"/>
      <c r="C794" s="86"/>
      <c r="D794" s="86"/>
      <c r="E794" s="52" t="s">
        <v>421</v>
      </c>
      <c r="F794" s="75">
        <f>SUM(H794:L794)</f>
        <v>1566000</v>
      </c>
      <c r="G794" s="92"/>
      <c r="H794" s="90">
        <v>1092000</v>
      </c>
      <c r="I794" s="93"/>
      <c r="J794" s="90">
        <v>474000</v>
      </c>
      <c r="K794" s="93"/>
      <c r="L794" s="90">
        <v>0</v>
      </c>
      <c r="M794" s="93"/>
      <c r="N794" s="90">
        <v>766000</v>
      </c>
      <c r="O794" s="93"/>
      <c r="P794" s="90">
        <v>800000</v>
      </c>
      <c r="Q794" s="93"/>
      <c r="R794" s="90">
        <v>0</v>
      </c>
    </row>
    <row r="795" spans="1:18" x14ac:dyDescent="0.15">
      <c r="A795" s="86"/>
      <c r="B795" s="86"/>
      <c r="C795" s="86"/>
      <c r="D795" s="86"/>
      <c r="E795" s="52" t="s">
        <v>422</v>
      </c>
      <c r="F795" s="75">
        <f>SUM(H795:L795)</f>
        <v>2806000</v>
      </c>
      <c r="G795" s="92"/>
      <c r="H795" s="90">
        <v>0</v>
      </c>
      <c r="I795" s="93"/>
      <c r="J795" s="90">
        <v>2806000</v>
      </c>
      <c r="K795" s="93"/>
      <c r="L795" s="90">
        <v>0</v>
      </c>
      <c r="M795" s="93"/>
      <c r="N795" s="90">
        <v>1155000</v>
      </c>
      <c r="O795" s="93"/>
      <c r="P795" s="90">
        <v>1651000</v>
      </c>
      <c r="Q795" s="93"/>
      <c r="R795" s="90">
        <v>0</v>
      </c>
    </row>
    <row r="796" spans="1:18" x14ac:dyDescent="0.15">
      <c r="A796" s="86"/>
      <c r="B796" s="86"/>
      <c r="C796" s="86"/>
      <c r="D796" s="86"/>
      <c r="E796" s="52" t="s">
        <v>423</v>
      </c>
      <c r="G796" s="69"/>
      <c r="I796" s="90"/>
      <c r="K796" s="90"/>
      <c r="M796" s="90"/>
      <c r="N796" s="90"/>
      <c r="O796" s="90"/>
      <c r="P796" s="90"/>
      <c r="Q796" s="90"/>
      <c r="R796" s="90"/>
    </row>
    <row r="797" spans="1:18" x14ac:dyDescent="0.15">
      <c r="A797" s="86"/>
      <c r="B797" s="86"/>
      <c r="C797" s="86"/>
      <c r="D797" s="86"/>
      <c r="E797" s="52" t="s">
        <v>424</v>
      </c>
      <c r="F797" s="75">
        <f>SUM(H797:L797)</f>
        <v>2538000</v>
      </c>
      <c r="G797" s="92"/>
      <c r="H797" s="90">
        <v>1244000</v>
      </c>
      <c r="I797" s="93"/>
      <c r="J797" s="90">
        <v>1289000</v>
      </c>
      <c r="K797" s="93"/>
      <c r="L797" s="90">
        <v>5000</v>
      </c>
      <c r="M797" s="93"/>
      <c r="N797" s="90">
        <v>1361000</v>
      </c>
      <c r="O797" s="93"/>
      <c r="P797" s="90">
        <v>1177000</v>
      </c>
      <c r="Q797" s="93"/>
      <c r="R797" s="90">
        <v>0</v>
      </c>
    </row>
    <row r="798" spans="1:18" x14ac:dyDescent="0.15">
      <c r="A798" s="86"/>
      <c r="B798" s="86"/>
      <c r="C798" s="86"/>
      <c r="D798" s="86"/>
      <c r="E798" s="52" t="s">
        <v>425</v>
      </c>
      <c r="F798" s="75">
        <f>SUM(H798:L798)</f>
        <v>2327000</v>
      </c>
      <c r="G798" s="92"/>
      <c r="H798" s="90">
        <v>878000</v>
      </c>
      <c r="I798" s="93"/>
      <c r="J798" s="90">
        <v>1047000</v>
      </c>
      <c r="K798" s="93"/>
      <c r="L798" s="90">
        <v>402000</v>
      </c>
      <c r="M798" s="93"/>
      <c r="N798" s="90">
        <v>1456000</v>
      </c>
      <c r="O798" s="93"/>
      <c r="P798" s="90">
        <v>871000</v>
      </c>
      <c r="Q798" s="93"/>
      <c r="R798" s="90">
        <v>0</v>
      </c>
    </row>
    <row r="799" spans="1:18" x14ac:dyDescent="0.15">
      <c r="A799" s="86"/>
      <c r="B799" s="86"/>
      <c r="C799" s="86"/>
      <c r="D799" s="86"/>
      <c r="E799" s="52" t="s">
        <v>426</v>
      </c>
      <c r="G799" s="92"/>
      <c r="H799" s="90"/>
      <c r="I799" s="93"/>
      <c r="J799" s="90"/>
      <c r="K799" s="93"/>
      <c r="L799" s="90"/>
      <c r="M799" s="93"/>
      <c r="N799" s="90"/>
      <c r="O799" s="93"/>
      <c r="P799" s="90"/>
      <c r="Q799" s="93"/>
      <c r="R799" s="90"/>
    </row>
    <row r="800" spans="1:18" x14ac:dyDescent="0.15">
      <c r="A800" s="86"/>
      <c r="B800" s="86"/>
      <c r="C800" s="86"/>
      <c r="D800" s="86"/>
      <c r="E800" s="52" t="s">
        <v>415</v>
      </c>
      <c r="F800" s="75">
        <f>SUM(H800:L800)</f>
        <v>1411000</v>
      </c>
      <c r="G800" s="92"/>
      <c r="H800" s="90">
        <v>1312000</v>
      </c>
      <c r="I800" s="93"/>
      <c r="J800" s="90">
        <v>95000</v>
      </c>
      <c r="K800" s="93"/>
      <c r="L800" s="90">
        <v>4000</v>
      </c>
      <c r="M800" s="93"/>
      <c r="N800" s="90">
        <v>956000</v>
      </c>
      <c r="O800" s="93"/>
      <c r="P800" s="90">
        <v>455000</v>
      </c>
      <c r="Q800" s="93"/>
      <c r="R800" s="90">
        <v>0</v>
      </c>
    </row>
    <row r="801" spans="1:18" x14ac:dyDescent="0.15">
      <c r="A801" s="86"/>
      <c r="B801" s="86"/>
      <c r="C801" s="86"/>
      <c r="D801" s="86"/>
      <c r="E801" s="52" t="s">
        <v>427</v>
      </c>
      <c r="F801" s="75">
        <f>SUM(H801:L801)</f>
        <v>3151000</v>
      </c>
      <c r="G801" s="92"/>
      <c r="H801" s="90">
        <v>2352000</v>
      </c>
      <c r="I801" s="93"/>
      <c r="J801" s="90">
        <v>778000</v>
      </c>
      <c r="K801" s="93"/>
      <c r="L801" s="90">
        <v>21000</v>
      </c>
      <c r="M801" s="93"/>
      <c r="N801" s="90">
        <v>2049000</v>
      </c>
      <c r="O801" s="93"/>
      <c r="P801" s="90">
        <v>1102000</v>
      </c>
      <c r="Q801" s="93"/>
      <c r="R801" s="90">
        <v>0</v>
      </c>
    </row>
    <row r="802" spans="1:18" x14ac:dyDescent="0.15">
      <c r="A802" s="86"/>
      <c r="B802" s="86"/>
      <c r="C802" s="86"/>
      <c r="D802" s="86"/>
      <c r="E802" s="52" t="s">
        <v>428</v>
      </c>
      <c r="F802" s="75">
        <f>SUM(H802:L802)</f>
        <v>1943000</v>
      </c>
      <c r="G802" s="92"/>
      <c r="H802" s="90">
        <v>269000</v>
      </c>
      <c r="I802" s="93"/>
      <c r="J802" s="90">
        <v>1604000</v>
      </c>
      <c r="K802" s="93"/>
      <c r="L802" s="90">
        <v>70000</v>
      </c>
      <c r="M802" s="93"/>
      <c r="N802" s="90">
        <v>1158000</v>
      </c>
      <c r="O802" s="93"/>
      <c r="P802" s="90">
        <v>785000</v>
      </c>
      <c r="Q802" s="93"/>
      <c r="R802" s="90">
        <v>0</v>
      </c>
    </row>
    <row r="803" spans="1:18" x14ac:dyDescent="0.15">
      <c r="A803" s="86"/>
      <c r="B803" s="86"/>
      <c r="E803" s="52" t="s">
        <v>429</v>
      </c>
      <c r="G803" s="69"/>
      <c r="H803" s="90"/>
      <c r="I803" s="90"/>
      <c r="J803" s="90"/>
      <c r="K803" s="90"/>
      <c r="L803" s="90"/>
      <c r="M803" s="90"/>
      <c r="N803" s="90"/>
      <c r="O803" s="90"/>
      <c r="P803" s="90"/>
      <c r="Q803" s="90"/>
      <c r="R803" s="90"/>
    </row>
    <row r="804" spans="1:18" x14ac:dyDescent="0.15">
      <c r="A804" s="86"/>
      <c r="B804" s="86"/>
      <c r="E804" s="52" t="s">
        <v>430</v>
      </c>
      <c r="F804" s="94">
        <f>SUM(H804:L804)</f>
        <v>4033000</v>
      </c>
      <c r="G804" s="69"/>
      <c r="H804" s="95">
        <v>1819000</v>
      </c>
      <c r="I804" s="90"/>
      <c r="J804" s="95">
        <v>1984000</v>
      </c>
      <c r="K804" s="90"/>
      <c r="L804" s="95">
        <v>230000</v>
      </c>
      <c r="M804" s="90"/>
      <c r="N804" s="95">
        <v>2569000</v>
      </c>
      <c r="O804" s="90"/>
      <c r="P804" s="95">
        <v>1464000</v>
      </c>
      <c r="Q804" s="90"/>
      <c r="R804" s="95">
        <v>0</v>
      </c>
    </row>
    <row r="805" spans="1:18" x14ac:dyDescent="0.15">
      <c r="A805" s="86"/>
      <c r="B805" s="86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</row>
    <row r="806" spans="1:18" x14ac:dyDescent="0.15">
      <c r="A806" s="86"/>
      <c r="B806" s="86"/>
      <c r="E806" s="52" t="s">
        <v>3</v>
      </c>
      <c r="F806" s="94">
        <f>SUM(H806:L806)</f>
        <v>34063000</v>
      </c>
      <c r="G806" s="69"/>
      <c r="H806" s="94">
        <f>SUM(H778:H805)</f>
        <v>18261000</v>
      </c>
      <c r="I806" s="69"/>
      <c r="J806" s="94">
        <f>SUM(J778:J805)</f>
        <v>15040000</v>
      </c>
      <c r="K806" s="69"/>
      <c r="L806" s="94">
        <f>SUM(L778:L805)</f>
        <v>762000</v>
      </c>
      <c r="M806" s="69"/>
      <c r="N806" s="94">
        <f>SUM(N778:N805)</f>
        <v>20484000</v>
      </c>
      <c r="O806" s="69"/>
      <c r="P806" s="94">
        <f>SUM(P778:P805)</f>
        <v>13666000</v>
      </c>
      <c r="Q806" s="69"/>
      <c r="R806" s="94">
        <f>SUM(R778:R805)</f>
        <v>87000</v>
      </c>
    </row>
    <row r="807" spans="1:18" x14ac:dyDescent="0.15">
      <c r="A807" s="86"/>
      <c r="B807" s="86"/>
      <c r="C807" s="86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</row>
    <row r="808" spans="1:18" x14ac:dyDescent="0.15">
      <c r="A808" s="86"/>
      <c r="B808" s="86"/>
      <c r="C808" s="53" t="s">
        <v>431</v>
      </c>
      <c r="D808" s="52"/>
      <c r="F808" s="94">
        <f>SUM(H808:L808)</f>
        <v>1346000</v>
      </c>
      <c r="G808" s="92"/>
      <c r="H808" s="95">
        <v>1251000</v>
      </c>
      <c r="I808" s="93"/>
      <c r="J808" s="95">
        <v>93000</v>
      </c>
      <c r="K808" s="93"/>
      <c r="L808" s="95">
        <v>2000</v>
      </c>
      <c r="M808" s="93"/>
      <c r="N808" s="95">
        <v>917000</v>
      </c>
      <c r="O808" s="93"/>
      <c r="P808" s="95">
        <v>429000</v>
      </c>
      <c r="Q808" s="93"/>
      <c r="R808" s="95">
        <v>0</v>
      </c>
    </row>
    <row r="809" spans="1:18" x14ac:dyDescent="0.15">
      <c r="A809" s="86"/>
      <c r="B809" s="86"/>
      <c r="C809" s="86"/>
      <c r="D809" s="52"/>
      <c r="G809" s="69"/>
      <c r="H809" s="75"/>
      <c r="I809" s="75"/>
      <c r="J809" s="75"/>
      <c r="K809" s="75"/>
      <c r="L809" s="75"/>
      <c r="M809" s="75"/>
      <c r="N809" s="75"/>
      <c r="O809" s="75"/>
      <c r="P809" s="75"/>
      <c r="Q809" s="75"/>
      <c r="R809" s="75"/>
    </row>
    <row r="810" spans="1:18" x14ac:dyDescent="0.15">
      <c r="A810" s="86"/>
      <c r="B810" s="86"/>
      <c r="C810" s="52" t="s">
        <v>432</v>
      </c>
      <c r="D810" s="52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</row>
    <row r="811" spans="1:18" x14ac:dyDescent="0.15">
      <c r="A811" s="86"/>
      <c r="B811" s="86"/>
      <c r="E811" s="52" t="s">
        <v>433</v>
      </c>
      <c r="F811" s="75">
        <f>SUM(H811:L811)</f>
        <v>3466000</v>
      </c>
      <c r="G811" s="92"/>
      <c r="H811" s="90">
        <v>3030000</v>
      </c>
      <c r="I811" s="93"/>
      <c r="J811" s="90">
        <v>436000</v>
      </c>
      <c r="K811" s="93"/>
      <c r="L811" s="90">
        <v>0</v>
      </c>
      <c r="M811" s="93"/>
      <c r="N811" s="90">
        <v>2431000</v>
      </c>
      <c r="O811" s="93"/>
      <c r="P811" s="90">
        <v>1035000</v>
      </c>
      <c r="Q811" s="93"/>
      <c r="R811" s="90">
        <v>0</v>
      </c>
    </row>
    <row r="812" spans="1:18" x14ac:dyDescent="0.15">
      <c r="A812" s="86"/>
      <c r="B812" s="86"/>
      <c r="E812" s="52" t="s">
        <v>434</v>
      </c>
      <c r="F812" s="75">
        <f>SUM(H812:L812)</f>
        <v>1222000</v>
      </c>
      <c r="G812" s="92"/>
      <c r="H812" s="90">
        <v>1075000</v>
      </c>
      <c r="I812" s="93"/>
      <c r="J812" s="90">
        <v>147000</v>
      </c>
      <c r="K812" s="93"/>
      <c r="L812" s="90">
        <v>0</v>
      </c>
      <c r="M812" s="93"/>
      <c r="N812" s="90">
        <v>820000</v>
      </c>
      <c r="O812" s="93"/>
      <c r="P812" s="90">
        <v>402000</v>
      </c>
      <c r="Q812" s="93"/>
      <c r="R812" s="90">
        <v>0</v>
      </c>
    </row>
    <row r="813" spans="1:18" x14ac:dyDescent="0.15">
      <c r="A813" s="86"/>
      <c r="B813" s="86"/>
      <c r="E813" s="52" t="s">
        <v>435</v>
      </c>
      <c r="F813" s="94">
        <f>SUM(H813:L813)</f>
        <v>2757000</v>
      </c>
      <c r="G813" s="69"/>
      <c r="H813" s="95">
        <v>2000</v>
      </c>
      <c r="I813" s="90"/>
      <c r="J813" s="95">
        <v>2755000</v>
      </c>
      <c r="K813" s="90"/>
      <c r="L813" s="95">
        <v>0</v>
      </c>
      <c r="M813" s="90"/>
      <c r="N813" s="95">
        <v>1504000</v>
      </c>
      <c r="O813" s="90"/>
      <c r="P813" s="95">
        <v>1253000</v>
      </c>
      <c r="Q813" s="90"/>
      <c r="R813" s="95">
        <v>0</v>
      </c>
    </row>
    <row r="814" spans="1:18" x14ac:dyDescent="0.15">
      <c r="A814" s="86"/>
      <c r="B814" s="86"/>
      <c r="G814" s="69"/>
      <c r="H814" s="90"/>
      <c r="I814" s="90"/>
      <c r="J814" s="90"/>
      <c r="K814" s="90"/>
      <c r="L814" s="90"/>
      <c r="M814" s="90"/>
      <c r="N814" s="90"/>
      <c r="O814" s="90"/>
      <c r="P814" s="90"/>
      <c r="Q814" s="90"/>
      <c r="R814" s="90"/>
    </row>
    <row r="815" spans="1:18" x14ac:dyDescent="0.15">
      <c r="A815" s="86"/>
      <c r="B815" s="86"/>
      <c r="C815" s="86"/>
      <c r="D815" s="86"/>
      <c r="E815" s="52" t="s">
        <v>3</v>
      </c>
      <c r="F815" s="94">
        <f>SUM(H815:L815)</f>
        <v>7445000</v>
      </c>
      <c r="G815" s="69"/>
      <c r="H815" s="95">
        <f>SUM(H811:H813)</f>
        <v>4107000</v>
      </c>
      <c r="I815" s="90"/>
      <c r="J815" s="95">
        <f>SUM(J811:J813)</f>
        <v>3338000</v>
      </c>
      <c r="K815" s="90"/>
      <c r="L815" s="95">
        <f>SUM(L811:L813)</f>
        <v>0</v>
      </c>
      <c r="M815" s="90"/>
      <c r="N815" s="95">
        <f>SUM(N811:N813)</f>
        <v>4755000</v>
      </c>
      <c r="O815" s="90"/>
      <c r="P815" s="95">
        <f>SUM(P811:P813)</f>
        <v>2690000</v>
      </c>
      <c r="Q815" s="90"/>
      <c r="R815" s="95">
        <f>SUM(R811:R813)</f>
        <v>0</v>
      </c>
    </row>
    <row r="816" spans="1:18" x14ac:dyDescent="0.15">
      <c r="A816" s="86"/>
      <c r="B816" s="86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</row>
    <row r="817" spans="1:18" x14ac:dyDescent="0.15">
      <c r="A817" s="86"/>
      <c r="B817" s="86"/>
      <c r="C817" s="53" t="s">
        <v>436</v>
      </c>
      <c r="D817" s="52"/>
      <c r="E817" s="91"/>
      <c r="G817" s="69"/>
      <c r="H817" s="90"/>
      <c r="I817" s="90"/>
      <c r="J817" s="90"/>
      <c r="K817" s="90"/>
      <c r="L817" s="90"/>
      <c r="M817" s="90"/>
      <c r="N817" s="90"/>
      <c r="O817" s="90"/>
      <c r="P817" s="90"/>
      <c r="Q817" s="90"/>
      <c r="R817" s="90"/>
    </row>
    <row r="818" spans="1:18" x14ac:dyDescent="0.15">
      <c r="A818" s="86"/>
      <c r="B818" s="86"/>
      <c r="C818" s="52"/>
      <c r="D818" s="52"/>
      <c r="E818" s="91" t="s">
        <v>437</v>
      </c>
      <c r="F818" s="75">
        <f t="shared" ref="F818:F821" si="31">SUM(H818:L818)</f>
        <v>7089000</v>
      </c>
      <c r="G818" s="92"/>
      <c r="H818" s="90">
        <v>3137000</v>
      </c>
      <c r="I818" s="93"/>
      <c r="J818" s="90">
        <v>3952000</v>
      </c>
      <c r="K818" s="93"/>
      <c r="L818" s="90">
        <v>0</v>
      </c>
      <c r="M818" s="93"/>
      <c r="N818" s="90">
        <v>4108000</v>
      </c>
      <c r="O818" s="93"/>
      <c r="P818" s="90">
        <v>3206000</v>
      </c>
      <c r="Q818" s="93"/>
      <c r="R818" s="90">
        <v>225000</v>
      </c>
    </row>
    <row r="819" spans="1:18" x14ac:dyDescent="0.15">
      <c r="A819" s="86"/>
      <c r="B819" s="86"/>
      <c r="C819" s="52"/>
      <c r="D819" s="52"/>
      <c r="E819" s="91" t="s">
        <v>438</v>
      </c>
      <c r="F819" s="75">
        <f t="shared" si="31"/>
        <v>3439000</v>
      </c>
      <c r="G819" s="92"/>
      <c r="H819" s="90">
        <v>2149000</v>
      </c>
      <c r="I819" s="93"/>
      <c r="J819" s="90">
        <v>1290000</v>
      </c>
      <c r="K819" s="93"/>
      <c r="L819" s="90">
        <v>0</v>
      </c>
      <c r="M819" s="93"/>
      <c r="N819" s="90">
        <v>1366000</v>
      </c>
      <c r="O819" s="93"/>
      <c r="P819" s="90">
        <v>2073000</v>
      </c>
      <c r="Q819" s="93"/>
      <c r="R819" s="90">
        <v>0</v>
      </c>
    </row>
    <row r="820" spans="1:18" x14ac:dyDescent="0.15">
      <c r="A820" s="86"/>
      <c r="B820" s="86"/>
      <c r="C820" s="52"/>
      <c r="D820" s="52"/>
      <c r="E820" s="91" t="s">
        <v>439</v>
      </c>
      <c r="F820" s="75">
        <f t="shared" si="31"/>
        <v>1253000</v>
      </c>
      <c r="G820" s="92"/>
      <c r="H820" s="90">
        <v>967000</v>
      </c>
      <c r="I820" s="93"/>
      <c r="J820" s="90">
        <v>286000</v>
      </c>
      <c r="K820" s="93"/>
      <c r="L820" s="90">
        <v>0</v>
      </c>
      <c r="M820" s="93"/>
      <c r="N820" s="90">
        <v>1120000</v>
      </c>
      <c r="O820" s="93"/>
      <c r="P820" s="90">
        <v>133000</v>
      </c>
      <c r="Q820" s="93"/>
      <c r="R820" s="90">
        <v>0</v>
      </c>
    </row>
    <row r="821" spans="1:18" x14ac:dyDescent="0.15">
      <c r="A821" s="86"/>
      <c r="B821" s="86"/>
      <c r="C821" s="52"/>
      <c r="D821" s="52"/>
      <c r="E821" s="91" t="s">
        <v>440</v>
      </c>
      <c r="F821" s="75">
        <f t="shared" si="31"/>
        <v>1817000</v>
      </c>
      <c r="G821" s="92"/>
      <c r="H821" s="90">
        <v>1546000</v>
      </c>
      <c r="I821" s="93"/>
      <c r="J821" s="90">
        <v>271000</v>
      </c>
      <c r="K821" s="93"/>
      <c r="L821" s="90">
        <v>0</v>
      </c>
      <c r="M821" s="93"/>
      <c r="N821" s="90">
        <v>1575000</v>
      </c>
      <c r="O821" s="93"/>
      <c r="P821" s="90">
        <v>242000</v>
      </c>
      <c r="Q821" s="93"/>
      <c r="R821" s="90">
        <v>0</v>
      </c>
    </row>
    <row r="822" spans="1:18" x14ac:dyDescent="0.15">
      <c r="A822" s="86"/>
      <c r="B822" s="86"/>
      <c r="C822" s="52"/>
      <c r="D822" s="52"/>
      <c r="E822" s="91"/>
      <c r="F822" s="65"/>
      <c r="G822" s="69"/>
      <c r="H822" s="100"/>
      <c r="I822" s="90"/>
      <c r="J822" s="100"/>
      <c r="K822" s="90"/>
      <c r="L822" s="100"/>
      <c r="M822" s="90"/>
      <c r="N822" s="100"/>
      <c r="O822" s="90"/>
      <c r="P822" s="100"/>
      <c r="Q822" s="90"/>
      <c r="R822" s="100"/>
    </row>
    <row r="823" spans="1:18" x14ac:dyDescent="0.15">
      <c r="A823" s="86"/>
      <c r="B823" s="86"/>
      <c r="C823" s="52"/>
      <c r="D823" s="52"/>
      <c r="E823" s="52" t="s">
        <v>60</v>
      </c>
      <c r="F823" s="94">
        <f>SUM(H823:L823)</f>
        <v>13598000</v>
      </c>
      <c r="G823" s="69"/>
      <c r="H823" s="95">
        <f>SUM(H818:H822)</f>
        <v>7799000</v>
      </c>
      <c r="I823" s="90"/>
      <c r="J823" s="95">
        <f>SUM(J818:J822)</f>
        <v>5799000</v>
      </c>
      <c r="K823" s="90"/>
      <c r="L823" s="95">
        <f>SUM(L818:L822)</f>
        <v>0</v>
      </c>
      <c r="M823" s="90"/>
      <c r="N823" s="95">
        <f>SUM(N818:N822)</f>
        <v>8169000</v>
      </c>
      <c r="O823" s="90"/>
      <c r="P823" s="95">
        <f>SUM(P818:P822)</f>
        <v>5654000</v>
      </c>
      <c r="Q823" s="90"/>
      <c r="R823" s="95">
        <f>SUM(R818:R822)</f>
        <v>225000</v>
      </c>
    </row>
    <row r="824" spans="1:18" x14ac:dyDescent="0.15">
      <c r="A824" s="86"/>
      <c r="B824" s="86"/>
      <c r="D824" s="52"/>
      <c r="E824" s="91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</row>
    <row r="825" spans="1:18" x14ac:dyDescent="0.15">
      <c r="A825" s="86"/>
      <c r="B825" s="86"/>
      <c r="C825" s="52" t="s">
        <v>441</v>
      </c>
      <c r="D825" s="52"/>
      <c r="E825" s="91"/>
      <c r="F825" s="94">
        <f>SUM(H825:L825)</f>
        <v>1434000</v>
      </c>
      <c r="G825" s="69"/>
      <c r="H825" s="95">
        <v>397000</v>
      </c>
      <c r="I825" s="90"/>
      <c r="J825" s="95">
        <v>1037000</v>
      </c>
      <c r="K825" s="90"/>
      <c r="L825" s="95">
        <v>0</v>
      </c>
      <c r="M825" s="90"/>
      <c r="N825" s="95">
        <v>938000</v>
      </c>
      <c r="O825" s="90"/>
      <c r="P825" s="95">
        <v>496000</v>
      </c>
      <c r="Q825" s="90"/>
      <c r="R825" s="95">
        <v>0</v>
      </c>
    </row>
    <row r="826" spans="1:18" x14ac:dyDescent="0.15">
      <c r="A826" s="86"/>
      <c r="B826" s="86"/>
      <c r="C826" s="52"/>
      <c r="D826" s="52"/>
      <c r="E826" s="91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</row>
    <row r="827" spans="1:18" x14ac:dyDescent="0.15">
      <c r="A827" s="86"/>
      <c r="B827" s="86"/>
      <c r="C827" s="52" t="s">
        <v>442</v>
      </c>
      <c r="D827" s="52"/>
      <c r="E827" s="91"/>
      <c r="F827" s="94">
        <f>SUM(H827:L827)</f>
        <v>1792000</v>
      </c>
      <c r="G827" s="69"/>
      <c r="H827" s="95">
        <v>0</v>
      </c>
      <c r="I827" s="90"/>
      <c r="J827" s="95">
        <v>1792000</v>
      </c>
      <c r="K827" s="90"/>
      <c r="L827" s="95">
        <v>0</v>
      </c>
      <c r="M827" s="90"/>
      <c r="N827" s="95">
        <v>1978000</v>
      </c>
      <c r="O827" s="90"/>
      <c r="P827" s="95">
        <v>-186000</v>
      </c>
      <c r="Q827" s="90"/>
      <c r="R827" s="95">
        <v>0</v>
      </c>
    </row>
    <row r="828" spans="1:18" x14ac:dyDescent="0.15">
      <c r="A828" s="86"/>
      <c r="B828" s="86"/>
      <c r="C828" s="52"/>
      <c r="D828" s="52"/>
      <c r="E828" s="91"/>
      <c r="G828" s="69"/>
      <c r="H828" s="75"/>
      <c r="I828" s="69"/>
      <c r="J828" s="75"/>
      <c r="K828" s="75"/>
      <c r="L828" s="75"/>
      <c r="M828" s="75"/>
      <c r="N828" s="75"/>
      <c r="O828" s="75"/>
      <c r="P828" s="75"/>
      <c r="Q828" s="69"/>
      <c r="R828" s="75"/>
    </row>
    <row r="829" spans="1:18" x14ac:dyDescent="0.15">
      <c r="A829" s="86"/>
      <c r="B829" s="86"/>
      <c r="C829" s="52" t="s">
        <v>443</v>
      </c>
      <c r="D829" s="52"/>
      <c r="E829" s="91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</row>
    <row r="830" spans="1:18" x14ac:dyDescent="0.15">
      <c r="A830" s="86"/>
      <c r="B830" s="86"/>
      <c r="C830" s="52"/>
      <c r="D830" s="52" t="s">
        <v>33</v>
      </c>
      <c r="E830" s="91"/>
      <c r="F830" s="94">
        <f>SUM(H830:L830)</f>
        <v>5209000</v>
      </c>
      <c r="G830" s="69"/>
      <c r="H830" s="95">
        <v>-922000</v>
      </c>
      <c r="I830" s="90"/>
      <c r="J830" s="95">
        <v>6131000</v>
      </c>
      <c r="K830" s="90"/>
      <c r="L830" s="95">
        <v>0</v>
      </c>
      <c r="M830" s="90"/>
      <c r="N830" s="95">
        <v>3293000</v>
      </c>
      <c r="O830" s="90"/>
      <c r="P830" s="95">
        <v>2333000</v>
      </c>
      <c r="Q830" s="90"/>
      <c r="R830" s="95">
        <v>417000</v>
      </c>
    </row>
    <row r="831" spans="1:18" x14ac:dyDescent="0.15">
      <c r="A831" s="86"/>
      <c r="B831" s="86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</row>
    <row r="832" spans="1:18" x14ac:dyDescent="0.15">
      <c r="A832" s="86"/>
      <c r="B832" s="86"/>
      <c r="C832" s="53" t="s">
        <v>444</v>
      </c>
      <c r="F832" s="94">
        <f>SUM(H832:L832)</f>
        <v>9416000</v>
      </c>
      <c r="G832" s="69"/>
      <c r="H832" s="95">
        <v>9085000</v>
      </c>
      <c r="I832" s="90"/>
      <c r="J832" s="95">
        <v>279000</v>
      </c>
      <c r="K832" s="90"/>
      <c r="L832" s="95">
        <v>52000</v>
      </c>
      <c r="M832" s="90"/>
      <c r="N832" s="95">
        <v>4435000</v>
      </c>
      <c r="O832" s="90"/>
      <c r="P832" s="95">
        <v>5524000</v>
      </c>
      <c r="Q832" s="90"/>
      <c r="R832" s="95">
        <v>543000</v>
      </c>
    </row>
    <row r="833" spans="1:18" x14ac:dyDescent="0.15">
      <c r="A833" s="86"/>
      <c r="B833" s="86"/>
      <c r="C833" s="52"/>
      <c r="D833" s="52"/>
      <c r="E833" s="91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</row>
    <row r="834" spans="1:18" x14ac:dyDescent="0.15">
      <c r="C834" s="52" t="s">
        <v>445</v>
      </c>
      <c r="D834" s="52"/>
      <c r="E834" s="91"/>
      <c r="G834" s="69"/>
      <c r="H834" s="90"/>
      <c r="I834" s="90"/>
      <c r="J834" s="90"/>
      <c r="K834" s="90"/>
      <c r="L834" s="90"/>
      <c r="M834" s="90"/>
      <c r="N834" s="90"/>
      <c r="O834" s="90"/>
      <c r="P834" s="90"/>
      <c r="Q834" s="90"/>
      <c r="R834" s="90"/>
    </row>
    <row r="835" spans="1:18" x14ac:dyDescent="0.15">
      <c r="C835" s="52"/>
      <c r="D835" s="52"/>
      <c r="E835" s="91" t="s">
        <v>326</v>
      </c>
      <c r="F835" s="75">
        <f>SUM(H835:L835)</f>
        <v>18707000</v>
      </c>
      <c r="G835" s="92"/>
      <c r="H835" s="90">
        <v>10647000</v>
      </c>
      <c r="I835" s="93"/>
      <c r="J835" s="90">
        <v>8058000</v>
      </c>
      <c r="K835" s="93"/>
      <c r="L835" s="90">
        <v>2000</v>
      </c>
      <c r="M835" s="93"/>
      <c r="N835" s="90">
        <v>6778000</v>
      </c>
      <c r="O835" s="93"/>
      <c r="P835" s="90">
        <v>14204000</v>
      </c>
      <c r="Q835" s="93"/>
      <c r="R835" s="90">
        <v>2275000</v>
      </c>
    </row>
    <row r="836" spans="1:18" x14ac:dyDescent="0.15">
      <c r="C836" s="52"/>
      <c r="D836" s="52"/>
      <c r="E836" s="91" t="s">
        <v>446</v>
      </c>
      <c r="G836" s="69"/>
      <c r="H836" s="90"/>
      <c r="I836" s="90"/>
      <c r="J836" s="90"/>
      <c r="K836" s="90"/>
      <c r="L836" s="90"/>
      <c r="M836" s="90"/>
      <c r="N836" s="90"/>
      <c r="O836" s="90"/>
      <c r="P836" s="90"/>
      <c r="Q836" s="90"/>
      <c r="R836" s="90"/>
    </row>
    <row r="837" spans="1:18" x14ac:dyDescent="0.15">
      <c r="C837" s="52"/>
      <c r="D837" s="52"/>
      <c r="E837" s="52" t="s">
        <v>447</v>
      </c>
      <c r="F837" s="75">
        <f>SUM(H837:L837)</f>
        <v>959000</v>
      </c>
      <c r="G837" s="92"/>
      <c r="H837" s="90">
        <v>641000</v>
      </c>
      <c r="I837" s="93"/>
      <c r="J837" s="90">
        <v>318000</v>
      </c>
      <c r="K837" s="93"/>
      <c r="L837" s="90">
        <v>0</v>
      </c>
      <c r="M837" s="93"/>
      <c r="N837" s="90">
        <v>652000</v>
      </c>
      <c r="O837" s="93"/>
      <c r="P837" s="90">
        <v>703000</v>
      </c>
      <c r="Q837" s="93"/>
      <c r="R837" s="90">
        <v>396000</v>
      </c>
    </row>
    <row r="838" spans="1:18" x14ac:dyDescent="0.15">
      <c r="C838" s="52"/>
      <c r="D838" s="52"/>
      <c r="E838" s="91" t="s">
        <v>448</v>
      </c>
      <c r="F838" s="75">
        <f>SUM(H838:L838)</f>
        <v>1877000</v>
      </c>
      <c r="G838" s="92"/>
      <c r="H838" s="90">
        <v>1838000</v>
      </c>
      <c r="I838" s="93"/>
      <c r="J838" s="90">
        <v>39000</v>
      </c>
      <c r="K838" s="93"/>
      <c r="L838" s="90">
        <v>0</v>
      </c>
      <c r="M838" s="93"/>
      <c r="N838" s="90">
        <v>841000</v>
      </c>
      <c r="O838" s="93"/>
      <c r="P838" s="90">
        <v>1036000</v>
      </c>
      <c r="Q838" s="93"/>
      <c r="R838" s="90">
        <v>0</v>
      </c>
    </row>
    <row r="839" spans="1:18" x14ac:dyDescent="0.15">
      <c r="C839" s="52"/>
      <c r="D839" s="52"/>
      <c r="E839" s="91" t="s">
        <v>449</v>
      </c>
      <c r="F839" s="75">
        <f>SUM(H839:L839)</f>
        <v>3472000</v>
      </c>
      <c r="G839" s="92"/>
      <c r="H839" s="90">
        <v>1336000</v>
      </c>
      <c r="I839" s="93"/>
      <c r="J839" s="90">
        <v>2136000</v>
      </c>
      <c r="K839" s="93"/>
      <c r="L839" s="90">
        <v>0</v>
      </c>
      <c r="M839" s="93"/>
      <c r="N839" s="90">
        <v>2207000</v>
      </c>
      <c r="O839" s="93"/>
      <c r="P839" s="90">
        <v>1265000</v>
      </c>
      <c r="Q839" s="93"/>
      <c r="R839" s="90">
        <v>0</v>
      </c>
    </row>
    <row r="840" spans="1:18" x14ac:dyDescent="0.15">
      <c r="C840" s="52"/>
      <c r="D840" s="52"/>
      <c r="E840" s="91" t="s">
        <v>450</v>
      </c>
      <c r="F840" s="94">
        <f>SUM(H840:L840)</f>
        <v>1849000</v>
      </c>
      <c r="G840" s="69"/>
      <c r="H840" s="95">
        <v>1300000</v>
      </c>
      <c r="I840" s="90"/>
      <c r="J840" s="95">
        <v>549000</v>
      </c>
      <c r="K840" s="90"/>
      <c r="L840" s="95">
        <v>0</v>
      </c>
      <c r="M840" s="90"/>
      <c r="N840" s="95">
        <v>1386000</v>
      </c>
      <c r="O840" s="90"/>
      <c r="P840" s="95">
        <v>565000</v>
      </c>
      <c r="Q840" s="90"/>
      <c r="R840" s="95">
        <v>102000</v>
      </c>
    </row>
    <row r="841" spans="1:18" x14ac:dyDescent="0.15">
      <c r="C841" s="52"/>
      <c r="D841" s="52"/>
      <c r="E841" s="91"/>
      <c r="G841" s="69"/>
      <c r="H841" s="90"/>
      <c r="I841" s="90"/>
      <c r="J841" s="90"/>
      <c r="K841" s="90"/>
      <c r="L841" s="90"/>
      <c r="M841" s="90"/>
      <c r="N841" s="90"/>
      <c r="O841" s="90"/>
      <c r="P841" s="90"/>
      <c r="Q841" s="90"/>
      <c r="R841" s="90"/>
    </row>
    <row r="842" spans="1:18" x14ac:dyDescent="0.15">
      <c r="C842" s="52"/>
      <c r="D842" s="52"/>
      <c r="E842" s="52" t="s">
        <v>60</v>
      </c>
      <c r="F842" s="94">
        <f>SUM(H842:L842)</f>
        <v>26864000</v>
      </c>
      <c r="G842" s="69"/>
      <c r="H842" s="95">
        <f>SUM(H835:H841)</f>
        <v>15762000</v>
      </c>
      <c r="I842" s="90"/>
      <c r="J842" s="95">
        <f>SUM(J835:J841)</f>
        <v>11100000</v>
      </c>
      <c r="K842" s="90"/>
      <c r="L842" s="95">
        <f>SUM(L835:L841)</f>
        <v>2000</v>
      </c>
      <c r="M842" s="90"/>
      <c r="N842" s="95">
        <f>SUM(N835:N841)</f>
        <v>11864000</v>
      </c>
      <c r="O842" s="90"/>
      <c r="P842" s="95">
        <f>SUM(P835:P841)</f>
        <v>17773000</v>
      </c>
      <c r="Q842" s="90"/>
      <c r="R842" s="95">
        <f>SUM(R835:R841)</f>
        <v>2773000</v>
      </c>
    </row>
    <row r="843" spans="1:18" x14ac:dyDescent="0.15">
      <c r="C843" s="52"/>
      <c r="D843" s="52"/>
      <c r="E843" s="91"/>
      <c r="G843" s="69"/>
      <c r="H843" s="90"/>
      <c r="I843" s="90"/>
      <c r="J843" s="90"/>
      <c r="K843" s="90"/>
      <c r="L843" s="90"/>
      <c r="M843" s="90"/>
      <c r="N843" s="90"/>
      <c r="O843" s="90"/>
      <c r="P843" s="90"/>
      <c r="Q843" s="90"/>
      <c r="R843" s="90"/>
    </row>
    <row r="844" spans="1:18" x14ac:dyDescent="0.15">
      <c r="C844" s="52" t="s">
        <v>451</v>
      </c>
      <c r="D844" s="52"/>
      <c r="E844" s="91"/>
      <c r="G844" s="69"/>
      <c r="H844" s="90"/>
      <c r="I844" s="90"/>
      <c r="J844" s="90"/>
      <c r="K844" s="90"/>
      <c r="L844" s="90"/>
      <c r="M844" s="90"/>
      <c r="N844" s="90"/>
      <c r="O844" s="90"/>
      <c r="P844" s="90"/>
      <c r="Q844" s="90"/>
      <c r="R844" s="90"/>
    </row>
    <row r="845" spans="1:18" x14ac:dyDescent="0.15">
      <c r="A845" s="86"/>
      <c r="B845" s="86"/>
      <c r="C845" s="52"/>
      <c r="D845" s="52" t="s">
        <v>452</v>
      </c>
      <c r="E845" s="91"/>
      <c r="F845" s="94">
        <f>SUM(H845:L845)</f>
        <v>3139000</v>
      </c>
      <c r="G845" s="69"/>
      <c r="H845" s="95">
        <v>1948000</v>
      </c>
      <c r="I845" s="90"/>
      <c r="J845" s="95">
        <v>1185000</v>
      </c>
      <c r="K845" s="90"/>
      <c r="L845" s="95">
        <v>6000</v>
      </c>
      <c r="M845" s="90"/>
      <c r="N845" s="95">
        <v>2937000</v>
      </c>
      <c r="O845" s="90"/>
      <c r="P845" s="95">
        <v>1742000</v>
      </c>
      <c r="Q845" s="90"/>
      <c r="R845" s="95">
        <v>1540000</v>
      </c>
    </row>
    <row r="846" spans="1:18" x14ac:dyDescent="0.15">
      <c r="A846" s="86"/>
      <c r="B846" s="86"/>
      <c r="C846" s="86"/>
      <c r="D846" s="86"/>
      <c r="E846" s="91"/>
      <c r="G846" s="69"/>
      <c r="H846" s="90"/>
      <c r="I846" s="90"/>
      <c r="J846" s="90"/>
      <c r="K846" s="90"/>
      <c r="L846" s="90"/>
      <c r="M846" s="90"/>
      <c r="N846" s="90"/>
      <c r="O846" s="90"/>
      <c r="P846" s="90"/>
      <c r="Q846" s="90"/>
      <c r="R846" s="90"/>
    </row>
    <row r="847" spans="1:18" x14ac:dyDescent="0.15">
      <c r="C847" s="52" t="s">
        <v>453</v>
      </c>
      <c r="D847" s="52"/>
      <c r="E847" s="91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</row>
    <row r="848" spans="1:18" x14ac:dyDescent="0.15">
      <c r="C848" s="52"/>
      <c r="D848" s="52"/>
      <c r="E848" s="91" t="s">
        <v>454</v>
      </c>
      <c r="F848" s="75">
        <f>SUM(H848:L848)</f>
        <v>5509000</v>
      </c>
      <c r="G848" s="92"/>
      <c r="H848" s="90">
        <v>5128000</v>
      </c>
      <c r="I848" s="93"/>
      <c r="J848" s="90">
        <v>381000</v>
      </c>
      <c r="K848" s="93"/>
      <c r="L848" s="90">
        <v>0</v>
      </c>
      <c r="M848" s="93"/>
      <c r="N848" s="90">
        <v>3662000</v>
      </c>
      <c r="O848" s="93"/>
      <c r="P848" s="90">
        <v>1847000</v>
      </c>
      <c r="Q848" s="93"/>
      <c r="R848" s="90">
        <v>0</v>
      </c>
    </row>
    <row r="849" spans="1:18" x14ac:dyDescent="0.15">
      <c r="A849" s="86"/>
      <c r="C849" s="52"/>
      <c r="D849" s="52"/>
      <c r="E849" s="91" t="s">
        <v>455</v>
      </c>
      <c r="F849" s="94">
        <f>SUM(H849:L849)</f>
        <v>272000</v>
      </c>
      <c r="G849" s="69"/>
      <c r="H849" s="95">
        <v>207000</v>
      </c>
      <c r="I849" s="90"/>
      <c r="J849" s="95">
        <v>51000</v>
      </c>
      <c r="K849" s="90"/>
      <c r="L849" s="95">
        <v>14000</v>
      </c>
      <c r="M849" s="90"/>
      <c r="N849" s="95">
        <v>165000</v>
      </c>
      <c r="O849" s="90"/>
      <c r="P849" s="95">
        <v>107000</v>
      </c>
      <c r="Q849" s="90"/>
      <c r="R849" s="95">
        <v>0</v>
      </c>
    </row>
    <row r="850" spans="1:18" x14ac:dyDescent="0.15">
      <c r="A850" s="86"/>
      <c r="C850" s="86"/>
      <c r="D850" s="52"/>
      <c r="E850" s="91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</row>
    <row r="851" spans="1:18" x14ac:dyDescent="0.15">
      <c r="A851" s="86"/>
      <c r="C851" s="52"/>
      <c r="D851" s="52"/>
      <c r="E851" s="52" t="s">
        <v>60</v>
      </c>
      <c r="F851" s="94">
        <f>SUM(H851:L851)</f>
        <v>5781000</v>
      </c>
      <c r="G851" s="69"/>
      <c r="H851" s="95">
        <f>SUM(H848:H850)</f>
        <v>5335000</v>
      </c>
      <c r="I851" s="69"/>
      <c r="J851" s="95">
        <f>SUM(J848:J850)</f>
        <v>432000</v>
      </c>
      <c r="K851" s="69"/>
      <c r="L851" s="95">
        <f>SUM(L848:L850)</f>
        <v>14000</v>
      </c>
      <c r="M851" s="69"/>
      <c r="N851" s="95">
        <f>SUM(N848:N850)</f>
        <v>3827000</v>
      </c>
      <c r="O851" s="69"/>
      <c r="P851" s="95">
        <f>SUM(P848:P850)</f>
        <v>1954000</v>
      </c>
      <c r="Q851" s="69"/>
      <c r="R851" s="95">
        <f>SUM(R848:R850)</f>
        <v>0</v>
      </c>
    </row>
    <row r="852" spans="1:18" x14ac:dyDescent="0.15">
      <c r="A852" s="86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</row>
    <row r="853" spans="1:18" x14ac:dyDescent="0.15">
      <c r="A853" s="86"/>
      <c r="B853" s="79"/>
      <c r="C853" s="53" t="s">
        <v>456</v>
      </c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</row>
    <row r="854" spans="1:18" x14ac:dyDescent="0.15">
      <c r="A854" s="86"/>
      <c r="C854" s="86"/>
      <c r="D854" s="86"/>
      <c r="E854" s="52" t="s">
        <v>457</v>
      </c>
      <c r="F854" s="75">
        <f>SUM(H854:L854)</f>
        <v>2484000</v>
      </c>
      <c r="G854" s="92"/>
      <c r="H854" s="90">
        <v>1102000</v>
      </c>
      <c r="I854" s="93"/>
      <c r="J854" s="90">
        <v>1292000</v>
      </c>
      <c r="K854" s="93"/>
      <c r="L854" s="90">
        <v>90000</v>
      </c>
      <c r="M854" s="93"/>
      <c r="N854" s="90">
        <v>1288000</v>
      </c>
      <c r="O854" s="93"/>
      <c r="P854" s="90">
        <v>1196000</v>
      </c>
      <c r="Q854" s="93"/>
      <c r="R854" s="90">
        <v>0</v>
      </c>
    </row>
    <row r="855" spans="1:18" ht="15.75" customHeight="1" x14ac:dyDescent="0.15">
      <c r="A855" s="86"/>
      <c r="C855" s="86"/>
      <c r="D855" s="86"/>
      <c r="E855" s="52" t="s">
        <v>458</v>
      </c>
      <c r="F855" s="75">
        <f t="shared" ref="F855:F860" si="32">SUM(H855:L855)</f>
        <v>3774000</v>
      </c>
      <c r="G855" s="92"/>
      <c r="H855" s="90">
        <v>216000</v>
      </c>
      <c r="I855" s="93"/>
      <c r="J855" s="90">
        <v>3515000</v>
      </c>
      <c r="K855" s="93"/>
      <c r="L855" s="90">
        <v>43000</v>
      </c>
      <c r="M855" s="93"/>
      <c r="N855" s="90">
        <v>2362000</v>
      </c>
      <c r="O855" s="93"/>
      <c r="P855" s="90">
        <v>1423000</v>
      </c>
      <c r="Q855" s="93"/>
      <c r="R855" s="90">
        <v>11000</v>
      </c>
    </row>
    <row r="856" spans="1:18" x14ac:dyDescent="0.15">
      <c r="A856" s="86"/>
      <c r="C856" s="86"/>
      <c r="D856" s="86"/>
      <c r="E856" s="52" t="s">
        <v>459</v>
      </c>
      <c r="F856" s="75">
        <f t="shared" si="32"/>
        <v>7805000</v>
      </c>
      <c r="G856" s="92"/>
      <c r="H856" s="90">
        <v>2000</v>
      </c>
      <c r="I856" s="93"/>
      <c r="J856" s="90">
        <v>7506000</v>
      </c>
      <c r="K856" s="93"/>
      <c r="L856" s="90">
        <v>297000</v>
      </c>
      <c r="M856" s="93"/>
      <c r="N856" s="90">
        <v>3418000</v>
      </c>
      <c r="O856" s="93"/>
      <c r="P856" s="90">
        <v>4421000</v>
      </c>
      <c r="Q856" s="93"/>
      <c r="R856" s="90">
        <v>34000</v>
      </c>
    </row>
    <row r="857" spans="1:18" x14ac:dyDescent="0.15">
      <c r="A857" s="86"/>
      <c r="C857" s="86"/>
      <c r="D857" s="86"/>
      <c r="E857" s="52" t="s">
        <v>297</v>
      </c>
      <c r="F857" s="75">
        <f t="shared" si="32"/>
        <v>24456000</v>
      </c>
      <c r="G857" s="92"/>
      <c r="H857" s="90">
        <v>-21000</v>
      </c>
      <c r="I857" s="93"/>
      <c r="J857" s="90">
        <v>24454000</v>
      </c>
      <c r="K857" s="93"/>
      <c r="L857" s="90">
        <v>23000</v>
      </c>
      <c r="M857" s="93"/>
      <c r="N857" s="90">
        <v>41538000</v>
      </c>
      <c r="O857" s="93"/>
      <c r="P857" s="90">
        <v>-17082000</v>
      </c>
      <c r="Q857" s="93"/>
      <c r="R857" s="90">
        <v>0</v>
      </c>
    </row>
    <row r="858" spans="1:18" x14ac:dyDescent="0.15">
      <c r="A858" s="86"/>
      <c r="C858" s="86"/>
      <c r="D858" s="86"/>
      <c r="E858" s="52" t="s">
        <v>460</v>
      </c>
      <c r="F858" s="75">
        <f t="shared" si="32"/>
        <v>726000</v>
      </c>
      <c r="G858" s="92"/>
      <c r="H858" s="90">
        <v>387000</v>
      </c>
      <c r="I858" s="93"/>
      <c r="J858" s="90">
        <v>332000</v>
      </c>
      <c r="K858" s="93"/>
      <c r="L858" s="90">
        <v>7000</v>
      </c>
      <c r="M858" s="93"/>
      <c r="N858" s="90">
        <v>496000</v>
      </c>
      <c r="O858" s="93"/>
      <c r="P858" s="90">
        <v>230000</v>
      </c>
      <c r="Q858" s="93"/>
      <c r="R858" s="90">
        <v>0</v>
      </c>
    </row>
    <row r="859" spans="1:18" x14ac:dyDescent="0.15">
      <c r="A859" s="86"/>
      <c r="C859" s="86"/>
      <c r="D859" s="86"/>
      <c r="E859" s="78" t="s">
        <v>461</v>
      </c>
      <c r="F859" s="75">
        <f t="shared" si="32"/>
        <v>1647000</v>
      </c>
      <c r="G859" s="92"/>
      <c r="H859" s="90">
        <v>528000</v>
      </c>
      <c r="I859" s="93"/>
      <c r="J859" s="90">
        <v>1073000</v>
      </c>
      <c r="K859" s="93"/>
      <c r="L859" s="90">
        <v>46000</v>
      </c>
      <c r="M859" s="93"/>
      <c r="N859" s="90">
        <v>949000</v>
      </c>
      <c r="O859" s="93"/>
      <c r="P859" s="90">
        <v>698000</v>
      </c>
      <c r="Q859" s="93"/>
      <c r="R859" s="90">
        <v>0</v>
      </c>
    </row>
    <row r="860" spans="1:18" x14ac:dyDescent="0.15">
      <c r="A860" s="86"/>
      <c r="C860" s="86"/>
      <c r="D860" s="86"/>
      <c r="E860" s="78" t="s">
        <v>462</v>
      </c>
      <c r="F860" s="75">
        <f t="shared" si="32"/>
        <v>757000</v>
      </c>
      <c r="G860" s="92"/>
      <c r="H860" s="90">
        <v>757000</v>
      </c>
      <c r="I860" s="93"/>
      <c r="J860" s="90">
        <v>0</v>
      </c>
      <c r="K860" s="93"/>
      <c r="L860" s="90">
        <v>0</v>
      </c>
      <c r="M860" s="93"/>
      <c r="N860" s="90">
        <v>536000</v>
      </c>
      <c r="O860" s="93"/>
      <c r="P860" s="90">
        <v>221000</v>
      </c>
      <c r="Q860" s="93"/>
      <c r="R860" s="90">
        <v>0</v>
      </c>
    </row>
    <row r="861" spans="1:18" x14ac:dyDescent="0.15">
      <c r="A861" s="86"/>
      <c r="C861" s="86"/>
      <c r="D861" s="86"/>
      <c r="E861" s="52" t="s">
        <v>234</v>
      </c>
      <c r="F861" s="94">
        <f>SUM(H861:L861)</f>
        <v>-41898000</v>
      </c>
      <c r="G861" s="69"/>
      <c r="H861" s="95">
        <v>-2520000</v>
      </c>
      <c r="I861" s="90"/>
      <c r="J861" s="95">
        <v>-48847000</v>
      </c>
      <c r="K861" s="90"/>
      <c r="L861" s="95">
        <v>9469000</v>
      </c>
      <c r="M861" s="90"/>
      <c r="N861" s="95">
        <v>12343000</v>
      </c>
      <c r="O861" s="90"/>
      <c r="P861" s="95">
        <v>-52662000</v>
      </c>
      <c r="Q861" s="90"/>
      <c r="R861" s="95">
        <v>1579000</v>
      </c>
    </row>
    <row r="862" spans="1:18" x14ac:dyDescent="0.15">
      <c r="A862" s="86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</row>
    <row r="863" spans="1:18" x14ac:dyDescent="0.15">
      <c r="A863" s="86"/>
      <c r="E863" s="52" t="s">
        <v>60</v>
      </c>
      <c r="F863" s="94">
        <f>SUM(H863:L863)</f>
        <v>-249000</v>
      </c>
      <c r="G863" s="69"/>
      <c r="H863" s="94">
        <f>SUM(H854:H861)</f>
        <v>451000</v>
      </c>
      <c r="I863" s="75"/>
      <c r="J863" s="94">
        <f>SUM(J854:J861)</f>
        <v>-10675000</v>
      </c>
      <c r="K863" s="75"/>
      <c r="L863" s="94">
        <f>SUM(L854:L861)</f>
        <v>9975000</v>
      </c>
      <c r="M863" s="75"/>
      <c r="N863" s="94">
        <f>SUM(N854:N861)</f>
        <v>62930000</v>
      </c>
      <c r="O863" s="75"/>
      <c r="P863" s="94">
        <f>SUM(P854:P861)</f>
        <v>-61555000</v>
      </c>
      <c r="Q863" s="75"/>
      <c r="R863" s="94">
        <f>SUM(R854:R861)</f>
        <v>1624000</v>
      </c>
    </row>
    <row r="864" spans="1:18" x14ac:dyDescent="0.15">
      <c r="A864" s="86"/>
      <c r="C864" s="86"/>
      <c r="D864" s="52"/>
      <c r="E864" s="86"/>
      <c r="G864" s="69"/>
      <c r="H864" s="90"/>
      <c r="I864" s="90"/>
      <c r="J864" s="90"/>
      <c r="K864" s="90"/>
      <c r="L864" s="90"/>
      <c r="M864" s="90"/>
      <c r="N864" s="90"/>
      <c r="O864" s="90"/>
      <c r="P864" s="90"/>
      <c r="Q864" s="90"/>
      <c r="R864" s="90"/>
    </row>
    <row r="865" spans="1:23" x14ac:dyDescent="0.15">
      <c r="A865" s="86"/>
      <c r="B865" s="86"/>
      <c r="C865" s="52" t="s">
        <v>463</v>
      </c>
      <c r="F865" s="94">
        <f>SUM(H865:L865)</f>
        <v>52000</v>
      </c>
      <c r="G865" s="69"/>
      <c r="H865" s="94">
        <v>0</v>
      </c>
      <c r="I865" s="75"/>
      <c r="J865" s="94">
        <v>52000</v>
      </c>
      <c r="K865" s="75"/>
      <c r="L865" s="94">
        <v>0</v>
      </c>
      <c r="M865" s="75"/>
      <c r="N865" s="94">
        <v>502000</v>
      </c>
      <c r="O865" s="75"/>
      <c r="P865" s="94">
        <v>538000</v>
      </c>
      <c r="Q865" s="75"/>
      <c r="R865" s="94">
        <v>988000</v>
      </c>
      <c r="T865" s="75"/>
      <c r="U865" s="75"/>
      <c r="V865" s="75"/>
      <c r="W865" s="75"/>
    </row>
    <row r="866" spans="1:23" x14ac:dyDescent="0.15">
      <c r="A866" s="86"/>
      <c r="B866" s="86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</row>
    <row r="867" spans="1:23" x14ac:dyDescent="0.15">
      <c r="A867" s="86"/>
      <c r="B867" s="86"/>
      <c r="C867" s="52" t="s">
        <v>464</v>
      </c>
      <c r="D867" s="52"/>
      <c r="E867" s="91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</row>
    <row r="868" spans="1:23" x14ac:dyDescent="0.15">
      <c r="A868" s="86"/>
      <c r="B868" s="86"/>
      <c r="E868" s="52" t="s">
        <v>465</v>
      </c>
      <c r="F868" s="75">
        <f>SUM(H868:L868)</f>
        <v>211000</v>
      </c>
      <c r="G868" s="92"/>
      <c r="H868" s="90">
        <v>0</v>
      </c>
      <c r="I868" s="93"/>
      <c r="J868" s="90">
        <v>211000</v>
      </c>
      <c r="K868" s="93"/>
      <c r="L868" s="90">
        <v>0</v>
      </c>
      <c r="M868" s="93"/>
      <c r="N868" s="90">
        <v>138000</v>
      </c>
      <c r="O868" s="93"/>
      <c r="P868" s="90">
        <v>1385000</v>
      </c>
      <c r="Q868" s="93"/>
      <c r="R868" s="90">
        <v>1312000</v>
      </c>
    </row>
    <row r="869" spans="1:23" x14ac:dyDescent="0.15">
      <c r="A869" s="86"/>
      <c r="B869" s="86"/>
      <c r="E869" s="52" t="s">
        <v>466</v>
      </c>
      <c r="F869" s="94">
        <f>SUM(H869:L869)</f>
        <v>4152000</v>
      </c>
      <c r="G869" s="69"/>
      <c r="H869" s="95">
        <v>0</v>
      </c>
      <c r="I869" s="90"/>
      <c r="J869" s="95">
        <v>4152000</v>
      </c>
      <c r="K869" s="90"/>
      <c r="L869" s="95">
        <v>0</v>
      </c>
      <c r="M869" s="90"/>
      <c r="N869" s="95">
        <v>1378000</v>
      </c>
      <c r="O869" s="90"/>
      <c r="P869" s="95">
        <v>2786000</v>
      </c>
      <c r="Q869" s="90"/>
      <c r="R869" s="95">
        <v>12000</v>
      </c>
    </row>
    <row r="870" spans="1:23" x14ac:dyDescent="0.15">
      <c r="A870" s="86"/>
      <c r="B870" s="86"/>
      <c r="G870" s="69"/>
      <c r="H870" s="90"/>
      <c r="I870" s="90"/>
      <c r="J870" s="90"/>
      <c r="K870" s="90"/>
      <c r="L870" s="90"/>
      <c r="M870" s="90"/>
      <c r="N870" s="90"/>
      <c r="O870" s="90"/>
      <c r="P870" s="90"/>
      <c r="Q870" s="90"/>
      <c r="R870" s="90"/>
    </row>
    <row r="871" spans="1:23" x14ac:dyDescent="0.15">
      <c r="A871" s="86"/>
      <c r="B871" s="86"/>
      <c r="E871" s="52" t="s">
        <v>3</v>
      </c>
      <c r="F871" s="94">
        <f>SUM(H871:L871)</f>
        <v>4363000</v>
      </c>
      <c r="G871" s="69"/>
      <c r="H871" s="94">
        <f>SUM(H868:H870)</f>
        <v>0</v>
      </c>
      <c r="I871" s="75"/>
      <c r="J871" s="94">
        <f>SUM(J868:J870)</f>
        <v>4363000</v>
      </c>
      <c r="K871" s="75"/>
      <c r="L871" s="94">
        <f>SUM(L868:L870)</f>
        <v>0</v>
      </c>
      <c r="M871" s="75"/>
      <c r="N871" s="94">
        <f>SUM(N868:N870)</f>
        <v>1516000</v>
      </c>
      <c r="O871" s="75"/>
      <c r="P871" s="94">
        <f>SUM(P868:P870)</f>
        <v>4171000</v>
      </c>
      <c r="Q871" s="75"/>
      <c r="R871" s="94">
        <f>SUM(R868:R870)</f>
        <v>1324000</v>
      </c>
    </row>
    <row r="872" spans="1:23" x14ac:dyDescent="0.15">
      <c r="A872" s="86"/>
      <c r="B872" s="86"/>
      <c r="C872" s="86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</row>
    <row r="873" spans="1:23" x14ac:dyDescent="0.15">
      <c r="A873" s="86"/>
      <c r="B873" s="86"/>
      <c r="C873" s="53" t="s">
        <v>467</v>
      </c>
      <c r="F873" s="94">
        <f>SUM(H873:L873)</f>
        <v>382000</v>
      </c>
      <c r="G873" s="69"/>
      <c r="H873" s="95">
        <v>388000</v>
      </c>
      <c r="I873" s="90"/>
      <c r="J873" s="95">
        <v>-6000</v>
      </c>
      <c r="K873" s="90"/>
      <c r="L873" s="95">
        <v>0</v>
      </c>
      <c r="M873" s="90"/>
      <c r="N873" s="95">
        <v>407000</v>
      </c>
      <c r="O873" s="90"/>
      <c r="P873" s="95">
        <v>1084000</v>
      </c>
      <c r="Q873" s="90"/>
      <c r="R873" s="95">
        <v>1109000</v>
      </c>
    </row>
    <row r="874" spans="1:23" x14ac:dyDescent="0.15">
      <c r="A874" s="86"/>
      <c r="B874" s="86"/>
      <c r="C874" s="86"/>
      <c r="G874" s="69"/>
      <c r="H874" s="90"/>
      <c r="I874" s="90"/>
      <c r="J874" s="90"/>
      <c r="K874" s="90"/>
      <c r="L874" s="90"/>
      <c r="M874" s="90"/>
      <c r="N874" s="90"/>
      <c r="O874" s="90"/>
      <c r="P874" s="90"/>
      <c r="Q874" s="90"/>
      <c r="R874" s="90"/>
    </row>
    <row r="875" spans="1:23" x14ac:dyDescent="0.15">
      <c r="A875" s="86"/>
      <c r="B875" s="86"/>
      <c r="C875" s="53" t="s">
        <v>468</v>
      </c>
      <c r="D875" s="52"/>
      <c r="E875" s="91"/>
      <c r="G875" s="69"/>
      <c r="H875" s="90"/>
      <c r="I875" s="90"/>
      <c r="J875" s="90"/>
      <c r="K875" s="90"/>
      <c r="L875" s="90"/>
      <c r="M875" s="90"/>
      <c r="N875" s="90"/>
      <c r="O875" s="90"/>
      <c r="P875" s="90"/>
      <c r="Q875" s="90"/>
      <c r="R875" s="90"/>
    </row>
    <row r="876" spans="1:23" x14ac:dyDescent="0.15">
      <c r="A876" s="86"/>
      <c r="B876" s="86"/>
      <c r="E876" s="52" t="s">
        <v>469</v>
      </c>
      <c r="F876" s="75">
        <f>SUM(H876:L876)</f>
        <v>3924000</v>
      </c>
      <c r="G876" s="92"/>
      <c r="H876" s="90">
        <v>3793000</v>
      </c>
      <c r="I876" s="93"/>
      <c r="J876" s="90">
        <v>131000</v>
      </c>
      <c r="K876" s="93"/>
      <c r="L876" s="90">
        <v>0</v>
      </c>
      <c r="M876" s="93"/>
      <c r="N876" s="90">
        <v>2148000</v>
      </c>
      <c r="O876" s="93"/>
      <c r="P876" s="90">
        <v>1776000</v>
      </c>
      <c r="Q876" s="93"/>
      <c r="R876" s="90">
        <v>0</v>
      </c>
    </row>
    <row r="877" spans="1:23" x14ac:dyDescent="0.15">
      <c r="A877" s="86"/>
      <c r="B877" s="86"/>
      <c r="E877" s="52" t="s">
        <v>470</v>
      </c>
      <c r="F877" s="75">
        <f>SUM(H877:L877)</f>
        <v>855000</v>
      </c>
      <c r="G877" s="92"/>
      <c r="H877" s="90">
        <v>561000</v>
      </c>
      <c r="I877" s="93"/>
      <c r="J877" s="90">
        <v>292000</v>
      </c>
      <c r="K877" s="93"/>
      <c r="L877" s="90">
        <v>2000</v>
      </c>
      <c r="M877" s="93"/>
      <c r="N877" s="90">
        <v>574000</v>
      </c>
      <c r="O877" s="93"/>
      <c r="P877" s="90">
        <v>281000</v>
      </c>
      <c r="Q877" s="93"/>
      <c r="R877" s="90">
        <v>0</v>
      </c>
    </row>
    <row r="878" spans="1:23" x14ac:dyDescent="0.15">
      <c r="A878" s="86"/>
      <c r="B878" s="86"/>
      <c r="E878" s="52" t="s">
        <v>471</v>
      </c>
      <c r="F878" s="75">
        <f>SUM(H878:L878)</f>
        <v>931000</v>
      </c>
      <c r="G878" s="92"/>
      <c r="H878" s="90">
        <v>524000</v>
      </c>
      <c r="I878" s="93"/>
      <c r="J878" s="90">
        <v>407000</v>
      </c>
      <c r="K878" s="93"/>
      <c r="L878" s="90">
        <v>0</v>
      </c>
      <c r="M878" s="93"/>
      <c r="N878" s="90">
        <v>796000</v>
      </c>
      <c r="O878" s="93"/>
      <c r="P878" s="90">
        <v>1789000</v>
      </c>
      <c r="Q878" s="93"/>
      <c r="R878" s="90">
        <v>1654000</v>
      </c>
    </row>
    <row r="879" spans="1:23" x14ac:dyDescent="0.15">
      <c r="E879" s="52" t="s">
        <v>472</v>
      </c>
      <c r="F879" s="75">
        <f>SUM(H879:L879)</f>
        <v>1148000</v>
      </c>
      <c r="G879" s="92"/>
      <c r="H879" s="90">
        <v>0</v>
      </c>
      <c r="I879" s="93"/>
      <c r="J879" s="90">
        <v>1148000</v>
      </c>
      <c r="K879" s="93"/>
      <c r="L879" s="90">
        <v>0</v>
      </c>
      <c r="M879" s="93"/>
      <c r="N879" s="90">
        <v>622000</v>
      </c>
      <c r="O879" s="93"/>
      <c r="P879" s="90">
        <v>526000</v>
      </c>
      <c r="Q879" s="93"/>
      <c r="R879" s="90">
        <v>0</v>
      </c>
    </row>
    <row r="880" spans="1:23" x14ac:dyDescent="0.15">
      <c r="B880" s="88"/>
      <c r="C880" s="88"/>
      <c r="D880" s="88"/>
      <c r="E880" s="88"/>
      <c r="G880" s="98"/>
      <c r="H880" s="98"/>
      <c r="I880" s="98"/>
      <c r="J880" s="98"/>
      <c r="K880" s="98"/>
      <c r="L880" s="98"/>
      <c r="M880" s="98"/>
      <c r="N880" s="98"/>
      <c r="O880" s="98"/>
      <c r="P880" s="98"/>
      <c r="Q880" s="98"/>
      <c r="R880" s="98"/>
    </row>
    <row r="881" spans="1:18" x14ac:dyDescent="0.15">
      <c r="E881" s="52" t="s">
        <v>3</v>
      </c>
      <c r="F881" s="94">
        <f>SUM(H881:L881)</f>
        <v>6858000</v>
      </c>
      <c r="G881" s="69"/>
      <c r="H881" s="94">
        <f>SUM(H876:H880)</f>
        <v>4878000</v>
      </c>
      <c r="I881" s="75"/>
      <c r="J881" s="94">
        <f>SUM(J876:J880)</f>
        <v>1978000</v>
      </c>
      <c r="K881" s="75"/>
      <c r="L881" s="94">
        <f>SUM(L876:L880)</f>
        <v>2000</v>
      </c>
      <c r="M881" s="75"/>
      <c r="N881" s="94">
        <f>SUM(N876:N880)</f>
        <v>4140000</v>
      </c>
      <c r="O881" s="75"/>
      <c r="P881" s="94">
        <f>SUM(P876:P880)</f>
        <v>4372000</v>
      </c>
      <c r="Q881" s="75"/>
      <c r="R881" s="94">
        <f>SUM(R876:R880)</f>
        <v>1654000</v>
      </c>
    </row>
    <row r="882" spans="1:18" x14ac:dyDescent="0.15">
      <c r="A882" s="88"/>
      <c r="B882" s="88"/>
      <c r="C882" s="88"/>
      <c r="D882" s="88"/>
      <c r="E882" s="88"/>
      <c r="G882" s="98"/>
      <c r="H882" s="98"/>
      <c r="I882" s="98"/>
      <c r="J882" s="98"/>
      <c r="K882" s="98"/>
      <c r="L882" s="98"/>
      <c r="M882" s="98"/>
      <c r="N882" s="98"/>
      <c r="O882" s="98"/>
      <c r="P882" s="98"/>
      <c r="Q882" s="98"/>
      <c r="R882" s="98"/>
    </row>
    <row r="883" spans="1:18" x14ac:dyDescent="0.15">
      <c r="C883" s="52" t="s">
        <v>473</v>
      </c>
      <c r="D883" s="52"/>
      <c r="E883" s="91"/>
      <c r="F883" s="94">
        <f>SUM(H883:L883)</f>
        <v>15896000</v>
      </c>
      <c r="G883" s="69"/>
      <c r="H883" s="95">
        <v>11394000</v>
      </c>
      <c r="I883" s="90"/>
      <c r="J883" s="95">
        <v>4469000</v>
      </c>
      <c r="K883" s="90"/>
      <c r="L883" s="95">
        <v>33000</v>
      </c>
      <c r="M883" s="90"/>
      <c r="N883" s="95">
        <v>13799000</v>
      </c>
      <c r="O883" s="90"/>
      <c r="P883" s="95">
        <v>7745000</v>
      </c>
      <c r="Q883" s="90"/>
      <c r="R883" s="95">
        <v>5648000</v>
      </c>
    </row>
    <row r="884" spans="1:18" x14ac:dyDescent="0.15">
      <c r="C884" s="86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</row>
    <row r="885" spans="1:18" x14ac:dyDescent="0.15">
      <c r="C885" s="53" t="s">
        <v>474</v>
      </c>
      <c r="D885" s="52"/>
      <c r="E885" s="91"/>
      <c r="F885" s="94">
        <f>SUM(H885:L885)</f>
        <v>1168000</v>
      </c>
      <c r="G885" s="69"/>
      <c r="H885" s="95">
        <v>0</v>
      </c>
      <c r="I885" s="90"/>
      <c r="J885" s="95">
        <v>1168000</v>
      </c>
      <c r="K885" s="90"/>
      <c r="L885" s="95">
        <v>0</v>
      </c>
      <c r="M885" s="90"/>
      <c r="N885" s="95">
        <v>1966000</v>
      </c>
      <c r="O885" s="90"/>
      <c r="P885" s="95">
        <v>7137000</v>
      </c>
      <c r="Q885" s="90"/>
      <c r="R885" s="95">
        <v>7935000</v>
      </c>
    </row>
    <row r="886" spans="1:18" x14ac:dyDescent="0.15"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</row>
    <row r="887" spans="1:18" x14ac:dyDescent="0.15">
      <c r="C887" s="88" t="s">
        <v>475</v>
      </c>
      <c r="D887" s="52"/>
      <c r="E887" s="91"/>
      <c r="F887" s="94">
        <f>SUM(H887:L887)</f>
        <v>34393000</v>
      </c>
      <c r="G887" s="69"/>
      <c r="H887" s="95">
        <v>0</v>
      </c>
      <c r="I887" s="90"/>
      <c r="J887" s="95">
        <v>33878000</v>
      </c>
      <c r="K887" s="90"/>
      <c r="L887" s="95">
        <v>515000</v>
      </c>
      <c r="M887" s="90"/>
      <c r="N887" s="95">
        <v>18191000</v>
      </c>
      <c r="O887" s="90"/>
      <c r="P887" s="95">
        <v>16202000</v>
      </c>
      <c r="Q887" s="90"/>
      <c r="R887" s="95">
        <v>0</v>
      </c>
    </row>
    <row r="888" spans="1:18" x14ac:dyDescent="0.15">
      <c r="C888" s="88"/>
      <c r="D888" s="52"/>
      <c r="E888" s="91"/>
      <c r="F888" s="65"/>
      <c r="G888" s="66"/>
      <c r="H888" s="65"/>
      <c r="I888" s="100"/>
      <c r="J888" s="100"/>
      <c r="K888" s="100"/>
      <c r="L888" s="100"/>
      <c r="M888" s="100"/>
      <c r="N888" s="100"/>
      <c r="O888" s="100"/>
      <c r="P888" s="100"/>
      <c r="Q888" s="100"/>
      <c r="R888" s="100"/>
    </row>
    <row r="889" spans="1:18" x14ac:dyDescent="0.15">
      <c r="C889" s="52" t="s">
        <v>476</v>
      </c>
      <c r="D889" s="52"/>
      <c r="E889" s="91"/>
      <c r="G889" s="69"/>
      <c r="H889" s="75"/>
      <c r="I889" s="75"/>
      <c r="J889" s="75"/>
      <c r="K889" s="75"/>
      <c r="L889" s="75"/>
      <c r="M889" s="75"/>
      <c r="N889" s="75"/>
      <c r="O889" s="75"/>
      <c r="P889" s="75"/>
      <c r="Q889" s="75"/>
      <c r="R889" s="75"/>
    </row>
    <row r="890" spans="1:18" x14ac:dyDescent="0.15">
      <c r="C890" s="52"/>
      <c r="D890" s="52"/>
      <c r="E890" s="91" t="s">
        <v>477</v>
      </c>
      <c r="F890" s="75">
        <f>SUM(H890:L890)</f>
        <v>2274000</v>
      </c>
      <c r="G890" s="92"/>
      <c r="H890" s="90">
        <v>1475000</v>
      </c>
      <c r="I890" s="93"/>
      <c r="J890" s="90">
        <v>799000</v>
      </c>
      <c r="K890" s="93"/>
      <c r="L890" s="90">
        <v>0</v>
      </c>
      <c r="M890" s="93"/>
      <c r="N890" s="90">
        <v>1131000</v>
      </c>
      <c r="O890" s="93"/>
      <c r="P890" s="90">
        <v>1143000</v>
      </c>
      <c r="Q890" s="93"/>
      <c r="R890" s="90">
        <v>0</v>
      </c>
    </row>
    <row r="891" spans="1:18" x14ac:dyDescent="0.15">
      <c r="E891" s="52" t="s">
        <v>478</v>
      </c>
      <c r="F891" s="75">
        <f>SUM(H891:L891)</f>
        <v>989000</v>
      </c>
      <c r="G891" s="92"/>
      <c r="H891" s="90">
        <v>910000</v>
      </c>
      <c r="I891" s="93"/>
      <c r="J891" s="90">
        <v>79000</v>
      </c>
      <c r="K891" s="93"/>
      <c r="L891" s="90">
        <v>0</v>
      </c>
      <c r="M891" s="93"/>
      <c r="N891" s="90">
        <v>656000</v>
      </c>
      <c r="O891" s="93"/>
      <c r="P891" s="90">
        <v>333000</v>
      </c>
      <c r="Q891" s="93"/>
      <c r="R891" s="90">
        <v>0</v>
      </c>
    </row>
    <row r="892" spans="1:18" x14ac:dyDescent="0.15">
      <c r="E892" s="52" t="s">
        <v>479</v>
      </c>
      <c r="F892" s="75">
        <f>SUM(H892:L892)</f>
        <v>2608000</v>
      </c>
      <c r="G892" s="92"/>
      <c r="H892" s="90">
        <v>1234000</v>
      </c>
      <c r="I892" s="93"/>
      <c r="J892" s="90">
        <v>1372000</v>
      </c>
      <c r="K892" s="93"/>
      <c r="L892" s="90">
        <v>2000</v>
      </c>
      <c r="M892" s="93"/>
      <c r="N892" s="90">
        <v>1451000</v>
      </c>
      <c r="O892" s="93"/>
      <c r="P892" s="90">
        <v>1157000</v>
      </c>
      <c r="Q892" s="93"/>
      <c r="R892" s="90">
        <v>0</v>
      </c>
    </row>
    <row r="893" spans="1:18" x14ac:dyDescent="0.15">
      <c r="C893" s="52"/>
      <c r="D893" s="52"/>
      <c r="E893" s="52" t="s">
        <v>480</v>
      </c>
      <c r="F893" s="94">
        <f>SUM(H893:L893)</f>
        <v>1489000</v>
      </c>
      <c r="G893" s="69"/>
      <c r="H893" s="95">
        <v>1231000</v>
      </c>
      <c r="I893" s="90"/>
      <c r="J893" s="95">
        <v>258000</v>
      </c>
      <c r="K893" s="90"/>
      <c r="L893" s="95">
        <v>0</v>
      </c>
      <c r="M893" s="90"/>
      <c r="N893" s="95">
        <v>955000</v>
      </c>
      <c r="O893" s="90"/>
      <c r="P893" s="95">
        <v>534000</v>
      </c>
      <c r="Q893" s="90"/>
      <c r="R893" s="95">
        <v>0</v>
      </c>
    </row>
    <row r="894" spans="1:18" x14ac:dyDescent="0.15">
      <c r="E894" s="52" t="s">
        <v>272</v>
      </c>
      <c r="G894" s="69"/>
      <c r="H894" s="75"/>
      <c r="I894" s="75"/>
      <c r="J894" s="75"/>
      <c r="K894" s="75"/>
      <c r="L894" s="75"/>
      <c r="M894" s="75"/>
      <c r="N894" s="75"/>
      <c r="O894" s="75"/>
      <c r="P894" s="75"/>
      <c r="Q894" s="75"/>
      <c r="R894" s="75"/>
    </row>
    <row r="895" spans="1:18" x14ac:dyDescent="0.15">
      <c r="E895" s="52" t="s">
        <v>3</v>
      </c>
      <c r="F895" s="94">
        <f>SUM(H895:L895)</f>
        <v>7360000</v>
      </c>
      <c r="G895" s="69"/>
      <c r="H895" s="94">
        <f>SUM(H890:H894)</f>
        <v>4850000</v>
      </c>
      <c r="I895" s="75"/>
      <c r="J895" s="94">
        <f>SUM(J890:J894)</f>
        <v>2508000</v>
      </c>
      <c r="K895" s="75"/>
      <c r="L895" s="94">
        <f>SUM(L890:L894)</f>
        <v>2000</v>
      </c>
      <c r="M895" s="94"/>
      <c r="N895" s="94">
        <f>SUM(N890:N894)</f>
        <v>4193000</v>
      </c>
      <c r="O895" s="75"/>
      <c r="P895" s="94">
        <f>SUM(P890:P894)</f>
        <v>3167000</v>
      </c>
      <c r="Q895" s="75"/>
      <c r="R895" s="94">
        <f>SUM(R890:R894)</f>
        <v>0</v>
      </c>
    </row>
    <row r="896" spans="1:18" x14ac:dyDescent="0.15">
      <c r="G896" s="69"/>
      <c r="H896" s="75"/>
      <c r="I896" s="75"/>
      <c r="J896" s="75"/>
      <c r="K896" s="75"/>
      <c r="L896" s="75"/>
      <c r="M896" s="75"/>
      <c r="N896" s="75"/>
      <c r="O896" s="75"/>
      <c r="P896" s="75"/>
      <c r="Q896" s="75"/>
      <c r="R896" s="75"/>
    </row>
    <row r="897" spans="1:18" x14ac:dyDescent="0.15">
      <c r="A897" s="88"/>
      <c r="B897" s="53" t="s">
        <v>399</v>
      </c>
      <c r="C897" s="88"/>
      <c r="D897" s="88"/>
      <c r="E897" s="88"/>
      <c r="G897" s="69"/>
      <c r="H897" s="90"/>
      <c r="I897" s="90"/>
      <c r="J897" s="90"/>
      <c r="K897" s="90"/>
      <c r="L897" s="90"/>
      <c r="M897" s="90"/>
      <c r="N897" s="90"/>
      <c r="O897" s="90"/>
      <c r="P897" s="90"/>
      <c r="Q897" s="90"/>
      <c r="R897" s="90"/>
    </row>
    <row r="898" spans="1:18" x14ac:dyDescent="0.15">
      <c r="B898" s="78"/>
      <c r="C898" s="53" t="s">
        <v>400</v>
      </c>
      <c r="F898" s="94">
        <f>SUM(H898:L898)</f>
        <v>2170000</v>
      </c>
      <c r="G898" s="69"/>
      <c r="H898" s="95">
        <v>1332000</v>
      </c>
      <c r="I898" s="90"/>
      <c r="J898" s="95">
        <v>841000</v>
      </c>
      <c r="K898" s="90"/>
      <c r="L898" s="95">
        <v>-3000</v>
      </c>
      <c r="M898" s="90"/>
      <c r="N898" s="95">
        <v>2149000</v>
      </c>
      <c r="O898" s="90"/>
      <c r="P898" s="95">
        <v>21000</v>
      </c>
      <c r="Q898" s="90"/>
      <c r="R898" s="95">
        <v>0</v>
      </c>
    </row>
    <row r="899" spans="1:18" x14ac:dyDescent="0.15">
      <c r="A899" s="88"/>
      <c r="B899" s="88"/>
      <c r="C899" s="88"/>
      <c r="D899" s="88"/>
      <c r="E899" s="88"/>
      <c r="G899" s="69"/>
      <c r="H899" s="90"/>
      <c r="I899" s="90"/>
      <c r="J899" s="90"/>
      <c r="K899" s="90"/>
      <c r="L899" s="90"/>
      <c r="M899" s="90"/>
      <c r="N899" s="90"/>
      <c r="O899" s="90"/>
      <c r="P899" s="90"/>
      <c r="Q899" s="90"/>
      <c r="R899" s="90"/>
    </row>
    <row r="900" spans="1:18" x14ac:dyDescent="0.15">
      <c r="E900" s="52" t="s">
        <v>481</v>
      </c>
      <c r="F900" s="94">
        <f>SUM(H900:L900)</f>
        <v>182480000</v>
      </c>
      <c r="G900" s="69"/>
      <c r="H900" s="94">
        <f>+H806+H808+H815+H823+H825+H827+H830+H832+H842+H845+H851+H863+H865+H871+H873+H881+H883+H885+H887+H895+H898</f>
        <v>86316000</v>
      </c>
      <c r="I900" s="75"/>
      <c r="J900" s="94">
        <f>+J806+J808+J815+J823+J825+J827+J830+J832+J842+J845+J851+J863+J865+J871+J873+J881+J883+J885+J887+J895+J898</f>
        <v>84802000</v>
      </c>
      <c r="K900" s="75"/>
      <c r="L900" s="94">
        <f>+L806+L808+L815+L823+L825+L827+L830+L832+L842+L845+L851+L863+L865+L871+L873+L881+L883+L885+L887+L895+L898</f>
        <v>11362000</v>
      </c>
      <c r="M900" s="75"/>
      <c r="N900" s="94">
        <f>+N806+N808+N815+N823+N825+N827+N830+N832+N842+N845+N851+N863+N865+N871+N873+N881+N883+N885+N887+N895+N898</f>
        <v>173390000</v>
      </c>
      <c r="O900" s="75"/>
      <c r="P900" s="94">
        <f>+P806+P808+P815+P823+P825+P827+P830+P832+P842+P845+P851+P863+P865+P871+P873+P881+P883+P885+P887+P895+P898</f>
        <v>34957000</v>
      </c>
      <c r="Q900" s="75"/>
      <c r="R900" s="94">
        <f>+R806+R808+R815+R823+R825+R827+R830+R832+R842+R845+R851+R863+R865+R871+R873+R881+R883+R885+R887+R895+R898</f>
        <v>25867000</v>
      </c>
    </row>
    <row r="901" spans="1:18" x14ac:dyDescent="0.15">
      <c r="G901" s="69"/>
      <c r="H901" s="75"/>
      <c r="I901" s="75"/>
      <c r="J901" s="75"/>
      <c r="K901" s="75"/>
      <c r="L901" s="75"/>
      <c r="M901" s="75"/>
      <c r="N901" s="75"/>
      <c r="O901" s="75"/>
      <c r="P901" s="75"/>
      <c r="Q901" s="75"/>
      <c r="R901" s="75"/>
    </row>
    <row r="902" spans="1:18" x14ac:dyDescent="0.15">
      <c r="A902" s="79" t="s">
        <v>482</v>
      </c>
      <c r="B902" s="88"/>
      <c r="C902" s="88"/>
      <c r="D902" s="88"/>
      <c r="E902" s="88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</row>
    <row r="903" spans="1:18" x14ac:dyDescent="0.15">
      <c r="A903" s="78"/>
      <c r="B903" s="79" t="s">
        <v>483</v>
      </c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</row>
    <row r="904" spans="1:18" x14ac:dyDescent="0.15"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</row>
    <row r="905" spans="1:18" x14ac:dyDescent="0.15">
      <c r="C905" s="52" t="s">
        <v>484</v>
      </c>
      <c r="D905" s="52"/>
      <c r="E905" s="91"/>
      <c r="F905" s="75">
        <f>SUM(H905:L905)</f>
        <v>3500000</v>
      </c>
      <c r="G905" s="92"/>
      <c r="H905" s="90">
        <v>2778000</v>
      </c>
      <c r="I905" s="93"/>
      <c r="J905" s="90">
        <v>707000</v>
      </c>
      <c r="K905" s="93"/>
      <c r="L905" s="90">
        <v>15000</v>
      </c>
      <c r="M905" s="93"/>
      <c r="N905" s="90">
        <v>8444000</v>
      </c>
      <c r="O905" s="93"/>
      <c r="P905" s="90">
        <v>6753000</v>
      </c>
      <c r="Q905" s="93"/>
      <c r="R905" s="90">
        <v>11697000</v>
      </c>
    </row>
    <row r="906" spans="1:18" x14ac:dyDescent="0.15">
      <c r="A906" s="86"/>
      <c r="B906" s="86"/>
      <c r="C906" s="86"/>
      <c r="D906" s="52"/>
      <c r="E906" s="91" t="s">
        <v>485</v>
      </c>
      <c r="F906" s="75">
        <f t="shared" ref="F906:F915" si="33">SUM(H906:L906)</f>
        <v>755000</v>
      </c>
      <c r="G906" s="92"/>
      <c r="H906" s="90">
        <v>321000</v>
      </c>
      <c r="I906" s="93"/>
      <c r="J906" s="90">
        <v>434000</v>
      </c>
      <c r="K906" s="93"/>
      <c r="L906" s="90">
        <v>0</v>
      </c>
      <c r="M906" s="93"/>
      <c r="N906" s="90">
        <v>57000</v>
      </c>
      <c r="O906" s="93"/>
      <c r="P906" s="90">
        <v>698000</v>
      </c>
      <c r="Q906" s="93"/>
      <c r="R906" s="90">
        <v>0</v>
      </c>
    </row>
    <row r="907" spans="1:18" x14ac:dyDescent="0.15">
      <c r="A907" s="86"/>
      <c r="B907" s="86"/>
      <c r="C907" s="86"/>
      <c r="D907" s="52"/>
      <c r="E907" s="91" t="s">
        <v>486</v>
      </c>
      <c r="F907" s="75">
        <f t="shared" si="33"/>
        <v>15888000</v>
      </c>
      <c r="G907" s="92"/>
      <c r="H907" s="90">
        <v>13410000</v>
      </c>
      <c r="I907" s="93"/>
      <c r="J907" s="90">
        <v>2478000</v>
      </c>
      <c r="K907" s="93"/>
      <c r="L907" s="90">
        <v>0</v>
      </c>
      <c r="M907" s="93"/>
      <c r="N907" s="90">
        <v>9390000</v>
      </c>
      <c r="O907" s="93"/>
      <c r="P907" s="90">
        <v>9607000</v>
      </c>
      <c r="Q907" s="93"/>
      <c r="R907" s="90">
        <v>3109000</v>
      </c>
    </row>
    <row r="908" spans="1:18" x14ac:dyDescent="0.15">
      <c r="A908" s="86"/>
      <c r="B908" s="86"/>
      <c r="C908" s="86"/>
      <c r="D908" s="52"/>
      <c r="E908" s="91" t="s">
        <v>487</v>
      </c>
      <c r="F908" s="75">
        <f t="shared" si="33"/>
        <v>972000</v>
      </c>
      <c r="G908" s="92"/>
      <c r="H908" s="90">
        <v>965000</v>
      </c>
      <c r="I908" s="93"/>
      <c r="J908" s="90">
        <v>7000</v>
      </c>
      <c r="K908" s="93"/>
      <c r="L908" s="90">
        <v>0</v>
      </c>
      <c r="M908" s="93"/>
      <c r="N908" s="90">
        <v>300000</v>
      </c>
      <c r="O908" s="93"/>
      <c r="P908" s="90">
        <v>672000</v>
      </c>
      <c r="Q908" s="93"/>
      <c r="R908" s="90">
        <v>0</v>
      </c>
    </row>
    <row r="909" spans="1:18" ht="16.5" customHeight="1" x14ac:dyDescent="0.15">
      <c r="A909" s="86"/>
      <c r="B909" s="86"/>
      <c r="C909" s="52" t="s">
        <v>488</v>
      </c>
      <c r="D909" s="52"/>
      <c r="E909" s="91"/>
      <c r="F909" s="75">
        <f t="shared" si="33"/>
        <v>3209000</v>
      </c>
      <c r="G909" s="92"/>
      <c r="H909" s="90">
        <v>2740000</v>
      </c>
      <c r="I909" s="93"/>
      <c r="J909" s="90">
        <v>434000</v>
      </c>
      <c r="K909" s="93"/>
      <c r="L909" s="90">
        <v>35000</v>
      </c>
      <c r="M909" s="93"/>
      <c r="N909" s="90">
        <v>1916000</v>
      </c>
      <c r="O909" s="93"/>
      <c r="P909" s="90">
        <v>1822000</v>
      </c>
      <c r="Q909" s="93"/>
      <c r="R909" s="90">
        <v>529000</v>
      </c>
    </row>
    <row r="910" spans="1:18" ht="16.5" customHeight="1" x14ac:dyDescent="0.15">
      <c r="A910" s="86"/>
      <c r="B910" s="86"/>
      <c r="C910" s="52" t="s">
        <v>489</v>
      </c>
      <c r="D910" s="52"/>
      <c r="E910" s="91"/>
      <c r="F910" s="75">
        <f t="shared" si="33"/>
        <v>15032000</v>
      </c>
      <c r="G910" s="92"/>
      <c r="H910" s="90">
        <v>12451000</v>
      </c>
      <c r="I910" s="93"/>
      <c r="J910" s="90">
        <v>2581000</v>
      </c>
      <c r="K910" s="93"/>
      <c r="L910" s="90">
        <v>0</v>
      </c>
      <c r="M910" s="93"/>
      <c r="N910" s="90">
        <v>8946000</v>
      </c>
      <c r="O910" s="93"/>
      <c r="P910" s="90">
        <v>9151000</v>
      </c>
      <c r="Q910" s="93"/>
      <c r="R910" s="90">
        <v>3065000</v>
      </c>
    </row>
    <row r="911" spans="1:18" ht="16.5" customHeight="1" x14ac:dyDescent="0.15">
      <c r="A911" s="86"/>
      <c r="B911" s="86"/>
      <c r="C911" s="52" t="s">
        <v>234</v>
      </c>
      <c r="D911" s="52"/>
      <c r="E911" s="91"/>
      <c r="F911" s="75">
        <f t="shared" si="33"/>
        <v>-4962000</v>
      </c>
      <c r="G911" s="92"/>
      <c r="H911" s="90">
        <v>-11463000</v>
      </c>
      <c r="I911" s="93"/>
      <c r="J911" s="90">
        <v>6279000</v>
      </c>
      <c r="K911" s="93"/>
      <c r="L911" s="90">
        <v>222000</v>
      </c>
      <c r="M911" s="93"/>
      <c r="N911" s="90">
        <v>1358000</v>
      </c>
      <c r="O911" s="93"/>
      <c r="P911" s="90">
        <v>-6162000</v>
      </c>
      <c r="Q911" s="93"/>
      <c r="R911" s="90">
        <v>158000</v>
      </c>
    </row>
    <row r="912" spans="1:18" ht="16.5" customHeight="1" x14ac:dyDescent="0.15">
      <c r="A912" s="86"/>
      <c r="B912" s="86"/>
      <c r="C912" s="52" t="s">
        <v>490</v>
      </c>
      <c r="D912" s="52"/>
      <c r="E912" s="91"/>
      <c r="F912" s="75">
        <f t="shared" si="33"/>
        <v>5000</v>
      </c>
      <c r="G912" s="92"/>
      <c r="H912" s="90">
        <v>0</v>
      </c>
      <c r="I912" s="93"/>
      <c r="J912" s="90">
        <v>5000</v>
      </c>
      <c r="K912" s="93"/>
      <c r="L912" s="90">
        <v>0</v>
      </c>
      <c r="M912" s="93"/>
      <c r="N912" s="90">
        <v>16000</v>
      </c>
      <c r="O912" s="93"/>
      <c r="P912" s="90">
        <v>48000</v>
      </c>
      <c r="Q912" s="93"/>
      <c r="R912" s="90">
        <v>59000</v>
      </c>
    </row>
    <row r="913" spans="1:18" ht="16.5" customHeight="1" x14ac:dyDescent="0.15">
      <c r="A913" s="86"/>
      <c r="B913" s="86"/>
      <c r="C913" s="52" t="s">
        <v>491</v>
      </c>
      <c r="D913" s="52"/>
      <c r="E913" s="91"/>
      <c r="F913" s="75">
        <f t="shared" si="33"/>
        <v>4961000</v>
      </c>
      <c r="G913" s="92"/>
      <c r="H913" s="90">
        <v>613000</v>
      </c>
      <c r="I913" s="93"/>
      <c r="J913" s="90">
        <v>4346000</v>
      </c>
      <c r="K913" s="93"/>
      <c r="L913" s="90">
        <v>2000</v>
      </c>
      <c r="M913" s="93"/>
      <c r="N913" s="90">
        <v>3163000</v>
      </c>
      <c r="O913" s="93"/>
      <c r="P913" s="90">
        <v>2600000</v>
      </c>
      <c r="Q913" s="93"/>
      <c r="R913" s="90">
        <v>802000</v>
      </c>
    </row>
    <row r="914" spans="1:18" ht="16.5" customHeight="1" x14ac:dyDescent="0.15">
      <c r="A914" s="86"/>
      <c r="B914" s="86"/>
      <c r="C914" s="52" t="s">
        <v>492</v>
      </c>
      <c r="D914" s="52"/>
      <c r="E914" s="91"/>
      <c r="F914" s="75">
        <f t="shared" si="33"/>
        <v>30723000</v>
      </c>
      <c r="G914" s="92"/>
      <c r="H914" s="90">
        <v>29198000</v>
      </c>
      <c r="I914" s="93"/>
      <c r="J914" s="90">
        <v>1525000</v>
      </c>
      <c r="K914" s="93"/>
      <c r="L914" s="90">
        <v>0</v>
      </c>
      <c r="M914" s="93"/>
      <c r="N914" s="90">
        <v>2533000</v>
      </c>
      <c r="O914" s="93"/>
      <c r="P914" s="90">
        <v>29203000</v>
      </c>
      <c r="Q914" s="93"/>
      <c r="R914" s="90">
        <v>1013000</v>
      </c>
    </row>
    <row r="915" spans="1:18" ht="16.5" customHeight="1" x14ac:dyDescent="0.15">
      <c r="A915" s="86"/>
      <c r="B915" s="86"/>
      <c r="C915" s="52" t="s">
        <v>493</v>
      </c>
      <c r="D915" s="52"/>
      <c r="E915" s="91"/>
      <c r="F915" s="94">
        <f t="shared" si="33"/>
        <v>-173000</v>
      </c>
      <c r="G915" s="92"/>
      <c r="H915" s="95">
        <v>-55000</v>
      </c>
      <c r="I915" s="93"/>
      <c r="J915" s="95">
        <v>-118000</v>
      </c>
      <c r="K915" s="93"/>
      <c r="L915" s="95">
        <v>0</v>
      </c>
      <c r="M915" s="93"/>
      <c r="N915" s="95">
        <v>-141000</v>
      </c>
      <c r="O915" s="93"/>
      <c r="P915" s="95">
        <v>-32000</v>
      </c>
      <c r="Q915" s="93"/>
      <c r="R915" s="95">
        <v>0</v>
      </c>
    </row>
    <row r="916" spans="1:18" x14ac:dyDescent="0.15">
      <c r="A916" s="86"/>
      <c r="B916" s="86"/>
      <c r="C916" s="52"/>
      <c r="D916" s="52"/>
      <c r="E916" s="91"/>
      <c r="G916" s="69"/>
      <c r="H916" s="90"/>
      <c r="I916" s="90"/>
      <c r="J916" s="90"/>
      <c r="K916" s="90"/>
      <c r="L916" s="90"/>
      <c r="M916" s="90"/>
      <c r="N916" s="90"/>
      <c r="O916" s="90"/>
      <c r="P916" s="90"/>
      <c r="Q916" s="90"/>
      <c r="R916" s="90"/>
    </row>
    <row r="917" spans="1:18" x14ac:dyDescent="0.15">
      <c r="A917" s="86"/>
      <c r="B917" s="86"/>
      <c r="E917" s="52" t="s">
        <v>494</v>
      </c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</row>
    <row r="918" spans="1:18" x14ac:dyDescent="0.15">
      <c r="A918" s="86"/>
      <c r="B918" s="86"/>
      <c r="E918" s="52" t="s">
        <v>495</v>
      </c>
      <c r="F918" s="94">
        <f>SUM(H918:L918)</f>
        <v>69910000</v>
      </c>
      <c r="G918" s="69"/>
      <c r="H918" s="94">
        <f>SUM(H905:H915)</f>
        <v>50958000</v>
      </c>
      <c r="I918" s="75"/>
      <c r="J918" s="94">
        <f>SUM(J905:J915)</f>
        <v>18678000</v>
      </c>
      <c r="K918" s="75"/>
      <c r="L918" s="94">
        <f>SUM(L905:L915)</f>
        <v>274000</v>
      </c>
      <c r="M918" s="75"/>
      <c r="N918" s="94">
        <f>SUM(N905:N915)</f>
        <v>35982000</v>
      </c>
      <c r="O918" s="75"/>
      <c r="P918" s="94">
        <f>SUM(P905:P915)</f>
        <v>54360000</v>
      </c>
      <c r="Q918" s="75"/>
      <c r="R918" s="94">
        <f>SUM(R905:R915)</f>
        <v>20432000</v>
      </c>
    </row>
    <row r="919" spans="1:18" x14ac:dyDescent="0.15">
      <c r="A919" s="88"/>
      <c r="B919" s="88"/>
      <c r="C919" s="88"/>
      <c r="D919" s="88"/>
      <c r="E919" s="88"/>
      <c r="G919" s="69"/>
      <c r="H919" s="75"/>
      <c r="I919" s="69"/>
      <c r="J919" s="75"/>
      <c r="K919" s="69"/>
      <c r="L919" s="69"/>
      <c r="M919" s="69"/>
      <c r="N919" s="69"/>
      <c r="O919" s="69"/>
      <c r="P919" s="75"/>
      <c r="Q919" s="69"/>
      <c r="R919" s="69"/>
    </row>
    <row r="920" spans="1:18" x14ac:dyDescent="0.15">
      <c r="A920" s="79" t="s">
        <v>496</v>
      </c>
      <c r="F920" s="94">
        <f>SUM(H920:L920)</f>
        <v>348077000</v>
      </c>
      <c r="G920" s="69"/>
      <c r="H920" s="95">
        <v>4703000</v>
      </c>
      <c r="I920" s="90"/>
      <c r="J920" s="95">
        <v>197227000</v>
      </c>
      <c r="K920" s="90"/>
      <c r="L920" s="95">
        <v>146147000</v>
      </c>
      <c r="M920" s="90"/>
      <c r="N920" s="95">
        <v>0</v>
      </c>
      <c r="O920" s="90"/>
      <c r="P920" s="95">
        <v>348077000</v>
      </c>
      <c r="Q920" s="90"/>
      <c r="R920" s="95">
        <v>0</v>
      </c>
    </row>
    <row r="921" spans="1:18" x14ac:dyDescent="0.15">
      <c r="A921" s="79"/>
      <c r="G921" s="69"/>
      <c r="H921" s="90"/>
      <c r="I921" s="90"/>
      <c r="J921" s="90"/>
      <c r="K921" s="90"/>
      <c r="L921" s="90"/>
      <c r="M921" s="90"/>
      <c r="N921" s="90"/>
      <c r="O921" s="90"/>
      <c r="P921" s="90"/>
      <c r="Q921" s="90"/>
      <c r="R921" s="90"/>
    </row>
    <row r="922" spans="1:18" x14ac:dyDescent="0.15">
      <c r="A922" s="79"/>
      <c r="C922" s="52" t="s">
        <v>497</v>
      </c>
      <c r="F922" s="94">
        <f>SUM(H922:L922)</f>
        <v>-213289000</v>
      </c>
      <c r="G922" s="69"/>
      <c r="H922" s="95">
        <v>0</v>
      </c>
      <c r="I922" s="90"/>
      <c r="J922" s="95">
        <v>-213289000</v>
      </c>
      <c r="K922" s="90"/>
      <c r="L922" s="95">
        <v>0</v>
      </c>
      <c r="M922" s="90"/>
      <c r="N922" s="95">
        <v>0</v>
      </c>
      <c r="O922" s="90"/>
      <c r="P922" s="95">
        <v>-213289000</v>
      </c>
      <c r="Q922" s="90"/>
      <c r="R922" s="95">
        <v>0</v>
      </c>
    </row>
    <row r="923" spans="1:18" x14ac:dyDescent="0.15">
      <c r="A923" s="79"/>
      <c r="G923" s="69"/>
      <c r="H923" s="75"/>
      <c r="I923" s="75"/>
      <c r="J923" s="75"/>
      <c r="K923" s="75"/>
      <c r="L923" s="75"/>
      <c r="M923" s="75"/>
      <c r="N923" s="75"/>
      <c r="O923" s="75"/>
      <c r="P923" s="75"/>
      <c r="Q923" s="75"/>
      <c r="R923" s="75"/>
    </row>
    <row r="924" spans="1:18" x14ac:dyDescent="0.15">
      <c r="A924" s="79"/>
      <c r="E924" s="52" t="s">
        <v>498</v>
      </c>
      <c r="F924" s="94">
        <f>SUM(H924:L924)</f>
        <v>134788000</v>
      </c>
      <c r="G924" s="69"/>
      <c r="H924" s="94">
        <f>+H920+H922</f>
        <v>4703000</v>
      </c>
      <c r="I924" s="75"/>
      <c r="J924" s="94">
        <f>+J920+J922</f>
        <v>-16062000</v>
      </c>
      <c r="K924" s="75"/>
      <c r="L924" s="94">
        <f>+L920+L922</f>
        <v>146147000</v>
      </c>
      <c r="M924" s="75"/>
      <c r="N924" s="94">
        <f>+N920+N922</f>
        <v>0</v>
      </c>
      <c r="O924" s="75"/>
      <c r="P924" s="94">
        <f>+P920+P922</f>
        <v>134788000</v>
      </c>
      <c r="Q924" s="75"/>
      <c r="R924" s="94">
        <f>+R920+R922</f>
        <v>0</v>
      </c>
    </row>
    <row r="925" spans="1:18" x14ac:dyDescent="0.15">
      <c r="A925" s="88"/>
      <c r="B925" s="88"/>
      <c r="C925" s="88"/>
      <c r="D925" s="88"/>
      <c r="E925" s="88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</row>
    <row r="926" spans="1:18" x14ac:dyDescent="0.15">
      <c r="A926" s="79" t="s">
        <v>499</v>
      </c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</row>
    <row r="927" spans="1:18" x14ac:dyDescent="0.15">
      <c r="A927" s="88"/>
      <c r="B927" s="88"/>
      <c r="C927" s="88"/>
      <c r="D927" s="88"/>
      <c r="E927" s="88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</row>
    <row r="928" spans="1:18" x14ac:dyDescent="0.15">
      <c r="C928" s="52" t="s">
        <v>500</v>
      </c>
      <c r="D928" s="52"/>
      <c r="F928" s="94">
        <f>SUM(H928:L928)</f>
        <v>5660000</v>
      </c>
      <c r="G928" s="69"/>
      <c r="H928" s="95">
        <v>0</v>
      </c>
      <c r="I928" s="90"/>
      <c r="J928" s="95">
        <v>5642000</v>
      </c>
      <c r="K928" s="90"/>
      <c r="L928" s="95">
        <v>18000</v>
      </c>
      <c r="M928" s="90"/>
      <c r="N928" s="95">
        <v>2279000</v>
      </c>
      <c r="O928" s="90"/>
      <c r="P928" s="95">
        <v>3381000</v>
      </c>
      <c r="Q928" s="90"/>
      <c r="R928" s="95">
        <v>0</v>
      </c>
    </row>
    <row r="929" spans="1:18" x14ac:dyDescent="0.15">
      <c r="D929" s="52"/>
      <c r="G929" s="69"/>
      <c r="H929" s="75"/>
      <c r="I929" s="75"/>
      <c r="J929" s="75"/>
      <c r="K929" s="75"/>
      <c r="L929" s="75"/>
      <c r="M929" s="75"/>
      <c r="N929" s="75"/>
      <c r="O929" s="75"/>
      <c r="P929" s="75"/>
      <c r="Q929" s="75"/>
      <c r="R929" s="75"/>
    </row>
    <row r="930" spans="1:18" x14ac:dyDescent="0.15">
      <c r="C930" s="53" t="s">
        <v>501</v>
      </c>
      <c r="D930" s="52"/>
      <c r="E930" s="91"/>
      <c r="F930" s="94">
        <f>SUM(H930:L930)</f>
        <v>10464000</v>
      </c>
      <c r="G930" s="69"/>
      <c r="H930" s="95">
        <v>0</v>
      </c>
      <c r="I930" s="90"/>
      <c r="J930" s="95">
        <v>10415000</v>
      </c>
      <c r="K930" s="90"/>
      <c r="L930" s="95">
        <v>49000</v>
      </c>
      <c r="M930" s="90"/>
      <c r="N930" s="95">
        <v>4328000</v>
      </c>
      <c r="O930" s="90"/>
      <c r="P930" s="95">
        <v>9193000</v>
      </c>
      <c r="Q930" s="90"/>
      <c r="R930" s="95">
        <v>3057000</v>
      </c>
    </row>
    <row r="931" spans="1:18" x14ac:dyDescent="0.15">
      <c r="C931" s="52"/>
      <c r="D931" s="52"/>
      <c r="E931" s="91"/>
      <c r="G931" s="69"/>
      <c r="H931" s="90"/>
      <c r="I931" s="90"/>
      <c r="J931" s="90"/>
      <c r="K931" s="90"/>
      <c r="L931" s="90"/>
      <c r="M931" s="90"/>
      <c r="N931" s="90"/>
      <c r="O931" s="90"/>
      <c r="P931" s="90"/>
      <c r="Q931" s="90"/>
      <c r="R931" s="90"/>
    </row>
    <row r="932" spans="1:18" x14ac:dyDescent="0.15">
      <c r="C932" s="52" t="s">
        <v>502</v>
      </c>
      <c r="F932" s="94">
        <f>SUM(H932:L932)</f>
        <v>63244000</v>
      </c>
      <c r="G932" s="69"/>
      <c r="H932" s="94">
        <v>0</v>
      </c>
      <c r="I932" s="69"/>
      <c r="J932" s="94">
        <v>63141000</v>
      </c>
      <c r="K932" s="69"/>
      <c r="L932" s="94">
        <v>103000</v>
      </c>
      <c r="M932" s="69"/>
      <c r="N932" s="94">
        <v>26848000</v>
      </c>
      <c r="O932" s="69"/>
      <c r="P932" s="94">
        <v>38802000</v>
      </c>
      <c r="Q932" s="69"/>
      <c r="R932" s="94">
        <v>2406000</v>
      </c>
    </row>
    <row r="933" spans="1:18" x14ac:dyDescent="0.15">
      <c r="E933" s="52" t="s">
        <v>22</v>
      </c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</row>
    <row r="934" spans="1:18" x14ac:dyDescent="0.15">
      <c r="B934" s="53" t="s">
        <v>503</v>
      </c>
      <c r="F934" s="94">
        <f>SUM(H934:L934)</f>
        <v>23894000</v>
      </c>
      <c r="G934" s="69"/>
      <c r="H934" s="95">
        <v>0</v>
      </c>
      <c r="I934" s="90"/>
      <c r="J934" s="95">
        <v>20202000</v>
      </c>
      <c r="K934" s="90"/>
      <c r="L934" s="95">
        <v>3692000</v>
      </c>
      <c r="M934" s="90"/>
      <c r="N934" s="95">
        <v>10097000</v>
      </c>
      <c r="O934" s="90"/>
      <c r="P934" s="95">
        <v>13988000</v>
      </c>
      <c r="Q934" s="90"/>
      <c r="R934" s="95">
        <v>191000</v>
      </c>
    </row>
    <row r="935" spans="1:18" x14ac:dyDescent="0.15">
      <c r="A935" s="88"/>
      <c r="B935" s="88"/>
      <c r="C935" s="88"/>
      <c r="D935" s="88"/>
      <c r="E935" s="88"/>
      <c r="G935" s="69"/>
      <c r="H935" s="90"/>
      <c r="I935" s="90"/>
      <c r="J935" s="90"/>
      <c r="K935" s="90"/>
      <c r="L935" s="90"/>
      <c r="M935" s="90"/>
      <c r="N935" s="90"/>
      <c r="O935" s="90"/>
      <c r="P935" s="90"/>
      <c r="Q935" s="90"/>
      <c r="R935" s="90"/>
    </row>
    <row r="936" spans="1:18" x14ac:dyDescent="0.15">
      <c r="B936" s="53" t="s">
        <v>504</v>
      </c>
      <c r="F936" s="94">
        <f>SUM(H936:L936)</f>
        <v>3305000</v>
      </c>
      <c r="G936" s="69"/>
      <c r="H936" s="95">
        <v>0</v>
      </c>
      <c r="I936" s="90"/>
      <c r="J936" s="95">
        <v>3305000</v>
      </c>
      <c r="K936" s="90"/>
      <c r="L936" s="95">
        <v>0</v>
      </c>
      <c r="M936" s="90"/>
      <c r="N936" s="95">
        <v>1660000</v>
      </c>
      <c r="O936" s="90"/>
      <c r="P936" s="95">
        <v>3920000</v>
      </c>
      <c r="Q936" s="90"/>
      <c r="R936" s="95">
        <v>2275000</v>
      </c>
    </row>
    <row r="937" spans="1:18" x14ac:dyDescent="0.15">
      <c r="A937" s="88"/>
      <c r="B937" s="88"/>
      <c r="C937" s="88"/>
      <c r="D937" s="88"/>
      <c r="E937" s="88"/>
      <c r="G937" s="69"/>
      <c r="H937" s="90"/>
      <c r="I937" s="90"/>
      <c r="J937" s="90"/>
      <c r="K937" s="90"/>
      <c r="L937" s="90"/>
      <c r="M937" s="90"/>
      <c r="N937" s="90"/>
      <c r="O937" s="90"/>
      <c r="P937" s="90"/>
      <c r="Q937" s="90"/>
      <c r="R937" s="90"/>
    </row>
    <row r="938" spans="1:18" x14ac:dyDescent="0.15">
      <c r="A938" s="88"/>
      <c r="B938" s="88" t="s">
        <v>456</v>
      </c>
      <c r="C938" s="88"/>
      <c r="D938" s="88"/>
      <c r="E938" s="88"/>
      <c r="F938" s="94">
        <f>SUM(H938:L938)</f>
        <v>24838000</v>
      </c>
      <c r="G938" s="69"/>
      <c r="H938" s="95">
        <v>0</v>
      </c>
      <c r="I938" s="90"/>
      <c r="J938" s="95">
        <v>24803000</v>
      </c>
      <c r="K938" s="90"/>
      <c r="L938" s="95">
        <v>35000</v>
      </c>
      <c r="M938" s="90"/>
      <c r="N938" s="95">
        <v>4545000</v>
      </c>
      <c r="O938" s="90"/>
      <c r="P938" s="95">
        <v>20550000</v>
      </c>
      <c r="Q938" s="90"/>
      <c r="R938" s="95">
        <v>257000</v>
      </c>
    </row>
    <row r="939" spans="1:18" x14ac:dyDescent="0.15">
      <c r="A939" s="88"/>
      <c r="B939" s="88"/>
      <c r="C939" s="88"/>
      <c r="D939" s="88"/>
      <c r="E939" s="88"/>
      <c r="G939" s="69"/>
      <c r="H939" s="90"/>
      <c r="I939" s="90"/>
      <c r="J939" s="90"/>
      <c r="K939" s="90"/>
      <c r="L939" s="90"/>
      <c r="M939" s="90"/>
      <c r="N939" s="90"/>
      <c r="O939" s="90"/>
      <c r="P939" s="90"/>
      <c r="Q939" s="90"/>
      <c r="R939" s="90"/>
    </row>
    <row r="940" spans="1:18" x14ac:dyDescent="0.15">
      <c r="A940" s="88"/>
      <c r="B940" s="53" t="s">
        <v>399</v>
      </c>
      <c r="C940" s="88"/>
      <c r="D940" s="88"/>
      <c r="E940" s="88"/>
      <c r="G940" s="69"/>
      <c r="H940" s="90"/>
      <c r="I940" s="90"/>
      <c r="J940" s="90"/>
      <c r="K940" s="90"/>
      <c r="L940" s="90"/>
      <c r="M940" s="90"/>
      <c r="N940" s="90"/>
      <c r="O940" s="90"/>
      <c r="P940" s="90"/>
      <c r="Q940" s="90"/>
      <c r="R940" s="90"/>
    </row>
    <row r="941" spans="1:18" x14ac:dyDescent="0.15">
      <c r="B941" s="78"/>
      <c r="C941" s="53" t="s">
        <v>400</v>
      </c>
      <c r="F941" s="94">
        <f>SUM(H941:L941)</f>
        <v>-226000</v>
      </c>
      <c r="G941" s="69"/>
      <c r="H941" s="95">
        <v>-1000</v>
      </c>
      <c r="I941" s="90"/>
      <c r="J941" s="95">
        <v>-231000</v>
      </c>
      <c r="K941" s="90"/>
      <c r="L941" s="95">
        <v>6000</v>
      </c>
      <c r="M941" s="90"/>
      <c r="N941" s="95">
        <v>-197000</v>
      </c>
      <c r="O941" s="90"/>
      <c r="P941" s="95">
        <v>-29000</v>
      </c>
      <c r="Q941" s="90"/>
      <c r="R941" s="95">
        <v>0</v>
      </c>
    </row>
    <row r="942" spans="1:18" x14ac:dyDescent="0.15">
      <c r="B942" s="78"/>
      <c r="G942" s="69"/>
      <c r="H942" s="90"/>
      <c r="I942" s="90"/>
      <c r="J942" s="90"/>
      <c r="K942" s="90"/>
      <c r="L942" s="90"/>
      <c r="M942" s="90"/>
      <c r="N942" s="90"/>
      <c r="O942" s="90"/>
      <c r="P942" s="90"/>
      <c r="Q942" s="90"/>
      <c r="R942" s="90"/>
    </row>
    <row r="943" spans="1:18" x14ac:dyDescent="0.15">
      <c r="E943" s="52" t="s">
        <v>505</v>
      </c>
      <c r="F943" s="94">
        <f>SUM(H943:L943)</f>
        <v>131179000</v>
      </c>
      <c r="G943" s="75"/>
      <c r="H943" s="94">
        <f>+H934+H936+H938+H941+H932+H928+H930</f>
        <v>-1000</v>
      </c>
      <c r="I943" s="75"/>
      <c r="J943" s="94">
        <f>+J934+J936+J938+J941+J932+J928+J930</f>
        <v>127277000</v>
      </c>
      <c r="K943" s="75"/>
      <c r="L943" s="94">
        <f>+L934+L936+L938+L941+L932+L928+L930</f>
        <v>3903000</v>
      </c>
      <c r="M943" s="75"/>
      <c r="N943" s="94">
        <f>+N934+N936+N938+N941+N932+N928+N930</f>
        <v>49560000</v>
      </c>
      <c r="O943" s="75"/>
      <c r="P943" s="94">
        <f>+P934+P936+P938+P941+P932+P928+P930</f>
        <v>89805000</v>
      </c>
      <c r="Q943" s="75"/>
      <c r="R943" s="94">
        <f>+R934+R936+R938+R941+R932+R928+R930</f>
        <v>8186000</v>
      </c>
    </row>
    <row r="944" spans="1:18" x14ac:dyDescent="0.15">
      <c r="G944" s="75"/>
      <c r="H944" s="75"/>
      <c r="I944" s="75"/>
      <c r="J944" s="75"/>
      <c r="K944" s="75"/>
      <c r="L944" s="75"/>
      <c r="M944" s="75"/>
      <c r="N944" s="75"/>
      <c r="O944" s="75"/>
      <c r="P944" s="75"/>
      <c r="Q944" s="75"/>
      <c r="R944" s="75"/>
    </row>
    <row r="945" spans="1:18" x14ac:dyDescent="0.15">
      <c r="G945" s="75"/>
      <c r="H945" s="75"/>
      <c r="I945" s="75"/>
      <c r="J945" s="75"/>
      <c r="K945" s="75"/>
      <c r="L945" s="75"/>
      <c r="M945" s="75"/>
      <c r="N945" s="75"/>
      <c r="O945" s="75"/>
      <c r="P945" s="75"/>
      <c r="Q945" s="75"/>
      <c r="R945" s="75"/>
    </row>
    <row r="946" spans="1:18" x14ac:dyDescent="0.15">
      <c r="E946" s="52" t="s">
        <v>506</v>
      </c>
      <c r="F946" s="94">
        <f>SUM(H946:L946)</f>
        <v>2402699000</v>
      </c>
      <c r="G946" s="75"/>
      <c r="H946" s="94">
        <f>H38+H52+H72+H84+H134+H159+H173+H183+H345+H355+H390+H401+H413+H425+H437+H476+H486+H490+H494+H682+H772+H900+H918+H924+H943</f>
        <v>636628000</v>
      </c>
      <c r="I946" s="75"/>
      <c r="J946" s="94">
        <f>J38+J52+J72+J84+J134+J159+J173+J183+J345+J355+J390+J401+J413+J425+J437+J476+J486+J490+J494+J682+J772+J900+J918+J924+J943</f>
        <v>901122000</v>
      </c>
      <c r="K946" s="75"/>
      <c r="L946" s="94">
        <f>L38+L52+L72+L84+L134+L159+L173+L183+L345+L355+L390+L401+L413+L425+L437+L476+L486+L490+L494+L682+L772+L900+L918+L924+L943</f>
        <v>864949000</v>
      </c>
      <c r="M946" s="75"/>
      <c r="N946" s="94">
        <f>N38+N52+N72+N84+N134+N159+N173+N183+N345+N355+N390+N401+N413+N425+N437+N476+N486+N490+N494+N682+N772+N900+N918+N924+N943</f>
        <v>1185479000</v>
      </c>
      <c r="O946" s="75"/>
      <c r="P946" s="94">
        <f>P38+P52+P72+P84+P134+P159+P173+P183+P345+P355+P390+P401+P413+P425+P437+P476+P486+P490+P494+P682+P772+P900+P918+P924+P943</f>
        <v>1346416000</v>
      </c>
      <c r="Q946" s="75"/>
      <c r="R946" s="94">
        <f>R38+R52+R72+R84+R134+R159+R173+R183+R345+R355+R390+R401+R413+R425+R437+R476+R486+R490+R494+R682+R772+R900+R918+R924+R943</f>
        <v>129196000</v>
      </c>
    </row>
    <row r="947" spans="1:18" x14ac:dyDescent="0.15">
      <c r="N947" s="86" t="s">
        <v>22</v>
      </c>
    </row>
    <row r="948" spans="1:18" x14ac:dyDescent="0.15">
      <c r="D948" s="53" t="s">
        <v>507</v>
      </c>
      <c r="F948" s="94">
        <f>SUM(H948:L948)</f>
        <v>-82104000</v>
      </c>
      <c r="G948" s="69"/>
      <c r="H948" s="95">
        <v>-21537000</v>
      </c>
      <c r="I948" s="90"/>
      <c r="J948" s="105">
        <v>-20072000</v>
      </c>
      <c r="K948" s="90"/>
      <c r="L948" s="105">
        <v>-40495000</v>
      </c>
      <c r="M948" s="90"/>
      <c r="N948" s="105">
        <v>-11584000</v>
      </c>
      <c r="O948" s="90"/>
      <c r="P948" s="105">
        <v>-70520000</v>
      </c>
      <c r="Q948" s="90"/>
      <c r="R948" s="95">
        <v>0</v>
      </c>
    </row>
    <row r="949" spans="1:18" x14ac:dyDescent="0.15">
      <c r="G949" s="69"/>
      <c r="H949" s="90"/>
      <c r="I949" s="90"/>
      <c r="J949" s="90"/>
      <c r="K949" s="90"/>
      <c r="L949" s="90"/>
      <c r="M949" s="90"/>
      <c r="N949" s="90"/>
      <c r="O949" s="90"/>
      <c r="Q949" s="90"/>
      <c r="R949" s="90"/>
    </row>
    <row r="950" spans="1:18" x14ac:dyDescent="0.15">
      <c r="B950" s="101" t="s">
        <v>509</v>
      </c>
      <c r="F950" s="94">
        <f>SUM(H950:L950)</f>
        <v>32243000</v>
      </c>
      <c r="G950" s="69"/>
      <c r="H950" s="95">
        <v>32243000</v>
      </c>
      <c r="I950" s="90"/>
      <c r="J950" s="95">
        <v>0</v>
      </c>
      <c r="K950" s="90"/>
      <c r="L950" s="95">
        <v>0</v>
      </c>
      <c r="M950" s="90"/>
      <c r="N950" s="95">
        <v>0</v>
      </c>
      <c r="O950" s="90"/>
      <c r="P950" s="95">
        <v>64560000</v>
      </c>
      <c r="Q950" s="90"/>
      <c r="R950" s="95">
        <v>32317000</v>
      </c>
    </row>
    <row r="951" spans="1:18" x14ac:dyDescent="0.15"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</row>
    <row r="952" spans="1:18" ht="14" thickBot="1" x14ac:dyDescent="0.2">
      <c r="E952" s="52" t="s">
        <v>508</v>
      </c>
      <c r="F952" s="106">
        <f>SUM(H952:L952)</f>
        <v>2352838000</v>
      </c>
      <c r="G952" s="69"/>
      <c r="H952" s="107">
        <f>+H946+H948+H950</f>
        <v>647334000</v>
      </c>
      <c r="I952" s="90"/>
      <c r="J952" s="107">
        <f>+J946+J948+J950</f>
        <v>881050000</v>
      </c>
      <c r="K952" s="90"/>
      <c r="L952" s="107">
        <f>+L946+L948+L950</f>
        <v>824454000</v>
      </c>
      <c r="M952" s="90"/>
      <c r="N952" s="107">
        <f>+N946+N948+N950</f>
        <v>1173895000</v>
      </c>
      <c r="O952" s="90"/>
      <c r="P952" s="107">
        <f>+P946+P948+P950</f>
        <v>1340456000</v>
      </c>
      <c r="Q952" s="90"/>
      <c r="R952" s="107">
        <f>+R946+R948+R950</f>
        <v>161513000</v>
      </c>
    </row>
    <row r="953" spans="1:18" ht="14" thickTop="1" x14ac:dyDescent="0.15"/>
    <row r="954" spans="1:18" x14ac:dyDescent="0.15">
      <c r="A954" s="86"/>
      <c r="B954" s="86"/>
      <c r="C954" s="86"/>
      <c r="D954" s="86"/>
      <c r="E954" s="86"/>
      <c r="F954" s="86"/>
    </row>
    <row r="955" spans="1:18" x14ac:dyDescent="0.15">
      <c r="A955" s="86"/>
      <c r="B955" s="86"/>
      <c r="C955" s="86"/>
      <c r="D955" s="86"/>
      <c r="E955" s="86"/>
      <c r="F955" s="86"/>
    </row>
    <row r="956" spans="1:18" x14ac:dyDescent="0.15">
      <c r="A956" s="86"/>
      <c r="B956" s="86"/>
      <c r="C956" s="86"/>
      <c r="D956" s="86"/>
      <c r="E956" s="86"/>
      <c r="F956" s="86"/>
    </row>
    <row r="957" spans="1:18" x14ac:dyDescent="0.15">
      <c r="A957" s="86"/>
      <c r="B957" s="86"/>
      <c r="C957" s="86"/>
      <c r="D957" s="86"/>
      <c r="E957" s="86"/>
      <c r="F957" s="86"/>
    </row>
    <row r="958" spans="1:18" x14ac:dyDescent="0.15">
      <c r="A958" s="86"/>
      <c r="B958" s="86"/>
      <c r="C958" s="86"/>
      <c r="D958" s="86"/>
      <c r="E958" s="86"/>
      <c r="F958" s="86"/>
    </row>
    <row r="959" spans="1:18" x14ac:dyDescent="0.15">
      <c r="A959" s="86"/>
      <c r="B959" s="86"/>
      <c r="C959" s="86"/>
      <c r="D959" s="86"/>
      <c r="E959" s="86"/>
      <c r="F959" s="86"/>
    </row>
    <row r="960" spans="1:18" x14ac:dyDescent="0.15">
      <c r="A960" s="86"/>
      <c r="B960" s="86"/>
      <c r="C960" s="86"/>
      <c r="D960" s="86"/>
      <c r="E960" s="86"/>
      <c r="F960" s="86"/>
    </row>
    <row r="961" spans="1:6" x14ac:dyDescent="0.15">
      <c r="A961" s="86"/>
      <c r="B961" s="86"/>
      <c r="C961" s="86"/>
      <c r="D961" s="86"/>
      <c r="E961" s="86"/>
      <c r="F961" s="86"/>
    </row>
    <row r="962" spans="1:6" x14ac:dyDescent="0.15">
      <c r="A962" s="86"/>
      <c r="B962" s="86"/>
      <c r="C962" s="86"/>
      <c r="D962" s="86"/>
      <c r="E962" s="86"/>
      <c r="F962" s="86"/>
    </row>
    <row r="963" spans="1:6" x14ac:dyDescent="0.15">
      <c r="A963" s="86"/>
      <c r="B963" s="86"/>
      <c r="C963" s="86"/>
      <c r="D963" s="86"/>
      <c r="E963" s="86"/>
      <c r="F963" s="86"/>
    </row>
    <row r="964" spans="1:6" x14ac:dyDescent="0.15">
      <c r="A964" s="86"/>
      <c r="B964" s="86"/>
      <c r="C964" s="86"/>
      <c r="D964" s="86"/>
      <c r="E964" s="86"/>
      <c r="F964" s="86"/>
    </row>
    <row r="965" spans="1:6" x14ac:dyDescent="0.15">
      <c r="A965" s="86"/>
      <c r="B965" s="86"/>
      <c r="C965" s="86"/>
      <c r="D965" s="86"/>
      <c r="E965" s="86"/>
      <c r="F965" s="86"/>
    </row>
    <row r="966" spans="1:6" x14ac:dyDescent="0.15">
      <c r="A966" s="86"/>
      <c r="B966" s="86"/>
      <c r="C966" s="86"/>
      <c r="D966" s="86"/>
      <c r="E966" s="86"/>
      <c r="F966" s="86"/>
    </row>
    <row r="967" spans="1:6" x14ac:dyDescent="0.15">
      <c r="A967" s="86"/>
      <c r="B967" s="86"/>
      <c r="C967" s="86"/>
      <c r="D967" s="86"/>
      <c r="E967" s="86"/>
      <c r="F967" s="86"/>
    </row>
    <row r="968" spans="1:6" x14ac:dyDescent="0.15">
      <c r="A968" s="86"/>
      <c r="B968" s="86"/>
      <c r="C968" s="86"/>
      <c r="D968" s="86"/>
      <c r="E968" s="86"/>
      <c r="F968" s="86"/>
    </row>
    <row r="969" spans="1:6" x14ac:dyDescent="0.15">
      <c r="A969" s="86"/>
      <c r="B969" s="86"/>
      <c r="C969" s="86"/>
      <c r="D969" s="86"/>
      <c r="E969" s="86"/>
      <c r="F969" s="86"/>
    </row>
    <row r="970" spans="1:6" x14ac:dyDescent="0.15">
      <c r="A970" s="86"/>
      <c r="B970" s="86"/>
      <c r="C970" s="86"/>
      <c r="D970" s="86"/>
      <c r="E970" s="86"/>
      <c r="F970" s="86"/>
    </row>
    <row r="971" spans="1:6" x14ac:dyDescent="0.15">
      <c r="A971" s="86"/>
      <c r="B971" s="86"/>
      <c r="C971" s="86"/>
      <c r="D971" s="86"/>
      <c r="E971" s="86"/>
      <c r="F971" s="86"/>
    </row>
    <row r="972" spans="1:6" x14ac:dyDescent="0.15">
      <c r="A972" s="86"/>
      <c r="B972" s="86"/>
      <c r="C972" s="86"/>
      <c r="D972" s="86"/>
      <c r="E972" s="86"/>
      <c r="F972" s="86"/>
    </row>
    <row r="973" spans="1:6" x14ac:dyDescent="0.15">
      <c r="A973" s="86"/>
      <c r="B973" s="86"/>
      <c r="C973" s="86"/>
      <c r="D973" s="86"/>
      <c r="E973" s="86"/>
      <c r="F973" s="86"/>
    </row>
    <row r="974" spans="1:6" x14ac:dyDescent="0.15">
      <c r="A974" s="86"/>
      <c r="B974" s="86"/>
      <c r="C974" s="86"/>
      <c r="D974" s="86"/>
      <c r="E974" s="86"/>
      <c r="F974" s="86"/>
    </row>
    <row r="975" spans="1:6" x14ac:dyDescent="0.15">
      <c r="A975" s="86"/>
      <c r="B975" s="86"/>
      <c r="C975" s="86"/>
      <c r="D975" s="86"/>
      <c r="E975" s="86"/>
      <c r="F975" s="86"/>
    </row>
    <row r="976" spans="1:6" x14ac:dyDescent="0.15">
      <c r="A976" s="86"/>
      <c r="B976" s="86"/>
      <c r="C976" s="86"/>
      <c r="D976" s="86"/>
      <c r="E976" s="86"/>
      <c r="F976" s="86"/>
    </row>
    <row r="977" spans="1:6" x14ac:dyDescent="0.15">
      <c r="A977" s="86"/>
      <c r="B977" s="86"/>
      <c r="C977" s="86"/>
      <c r="D977" s="86"/>
      <c r="E977" s="86"/>
      <c r="F977" s="86"/>
    </row>
    <row r="978" spans="1:6" x14ac:dyDescent="0.15">
      <c r="A978" s="86"/>
      <c r="B978" s="86"/>
      <c r="C978" s="86"/>
      <c r="D978" s="86"/>
      <c r="E978" s="86"/>
      <c r="F978" s="86"/>
    </row>
    <row r="979" spans="1:6" x14ac:dyDescent="0.15">
      <c r="A979" s="86"/>
      <c r="B979" s="86"/>
      <c r="C979" s="86"/>
      <c r="D979" s="86"/>
      <c r="E979" s="86"/>
      <c r="F979" s="86"/>
    </row>
    <row r="980" spans="1:6" x14ac:dyDescent="0.15">
      <c r="A980" s="86"/>
      <c r="B980" s="86"/>
      <c r="C980" s="86"/>
      <c r="D980" s="86"/>
      <c r="E980" s="86"/>
      <c r="F980" s="86"/>
    </row>
    <row r="981" spans="1:6" x14ac:dyDescent="0.15">
      <c r="A981" s="86"/>
      <c r="B981" s="86"/>
      <c r="C981" s="86"/>
      <c r="D981" s="86"/>
      <c r="E981" s="86"/>
      <c r="F981" s="86"/>
    </row>
    <row r="982" spans="1:6" x14ac:dyDescent="0.15">
      <c r="A982" s="86"/>
      <c r="B982" s="86"/>
      <c r="C982" s="86"/>
      <c r="D982" s="86"/>
      <c r="E982" s="86"/>
      <c r="F982" s="86"/>
    </row>
    <row r="983" spans="1:6" x14ac:dyDescent="0.15">
      <c r="A983" s="86"/>
      <c r="B983" s="86"/>
      <c r="C983" s="86"/>
      <c r="D983" s="86"/>
      <c r="E983" s="86"/>
      <c r="F983" s="86"/>
    </row>
    <row r="984" spans="1:6" x14ac:dyDescent="0.15">
      <c r="A984" s="86"/>
      <c r="B984" s="86"/>
      <c r="C984" s="86"/>
      <c r="D984" s="86"/>
      <c r="E984" s="86"/>
      <c r="F984" s="86"/>
    </row>
    <row r="985" spans="1:6" x14ac:dyDescent="0.15">
      <c r="A985" s="86"/>
      <c r="B985" s="86"/>
      <c r="C985" s="86"/>
      <c r="D985" s="86"/>
      <c r="E985" s="86"/>
      <c r="F985" s="86"/>
    </row>
    <row r="986" spans="1:6" x14ac:dyDescent="0.15">
      <c r="A986" s="86"/>
      <c r="B986" s="86"/>
      <c r="C986" s="86"/>
      <c r="D986" s="86"/>
      <c r="E986" s="86"/>
      <c r="F986" s="86"/>
    </row>
    <row r="987" spans="1:6" x14ac:dyDescent="0.15">
      <c r="A987" s="86"/>
      <c r="B987" s="86"/>
      <c r="C987" s="86"/>
      <c r="D987" s="86"/>
      <c r="E987" s="86"/>
      <c r="F987" s="86"/>
    </row>
    <row r="988" spans="1:6" x14ac:dyDescent="0.15">
      <c r="A988" s="86"/>
      <c r="B988" s="86"/>
      <c r="C988" s="86"/>
      <c r="D988" s="86"/>
      <c r="E988" s="86"/>
      <c r="F988" s="86"/>
    </row>
    <row r="989" spans="1:6" x14ac:dyDescent="0.15">
      <c r="A989" s="86"/>
      <c r="B989" s="86"/>
      <c r="C989" s="86"/>
      <c r="D989" s="86"/>
      <c r="E989" s="86"/>
      <c r="F989" s="86"/>
    </row>
    <row r="990" spans="1:6" x14ac:dyDescent="0.15">
      <c r="A990" s="86"/>
      <c r="B990" s="86"/>
      <c r="C990" s="86"/>
      <c r="D990" s="86"/>
      <c r="E990" s="86"/>
      <c r="F990" s="86"/>
    </row>
    <row r="991" spans="1:6" x14ac:dyDescent="0.15">
      <c r="A991" s="86"/>
      <c r="B991" s="86"/>
      <c r="C991" s="86"/>
      <c r="D991" s="86"/>
      <c r="E991" s="86"/>
      <c r="F991" s="86"/>
    </row>
    <row r="992" spans="1:6" x14ac:dyDescent="0.15">
      <c r="A992" s="86"/>
      <c r="B992" s="86"/>
      <c r="C992" s="86"/>
      <c r="D992" s="86"/>
      <c r="E992" s="86"/>
      <c r="F992" s="86"/>
    </row>
    <row r="993" spans="1:6" x14ac:dyDescent="0.15">
      <c r="A993" s="86"/>
      <c r="B993" s="86"/>
      <c r="C993" s="86"/>
      <c r="D993" s="86"/>
      <c r="E993" s="86"/>
      <c r="F993" s="86"/>
    </row>
    <row r="994" spans="1:6" x14ac:dyDescent="0.15">
      <c r="A994" s="86"/>
      <c r="B994" s="86"/>
      <c r="C994" s="86"/>
      <c r="D994" s="86"/>
      <c r="E994" s="86"/>
      <c r="F994" s="86"/>
    </row>
    <row r="995" spans="1:6" x14ac:dyDescent="0.15">
      <c r="A995" s="86"/>
      <c r="B995" s="86"/>
      <c r="C995" s="86"/>
      <c r="D995" s="86"/>
      <c r="E995" s="86"/>
      <c r="F995" s="86"/>
    </row>
    <row r="996" spans="1:6" x14ac:dyDescent="0.15">
      <c r="A996" s="86"/>
      <c r="B996" s="86"/>
      <c r="C996" s="86"/>
      <c r="D996" s="86"/>
      <c r="E996" s="86"/>
      <c r="F996" s="86"/>
    </row>
    <row r="997" spans="1:6" x14ac:dyDescent="0.15">
      <c r="A997" s="86"/>
      <c r="B997" s="86"/>
      <c r="C997" s="86"/>
      <c r="D997" s="86"/>
      <c r="E997" s="86"/>
      <c r="F997" s="86"/>
    </row>
    <row r="998" spans="1:6" x14ac:dyDescent="0.15">
      <c r="A998" s="86"/>
      <c r="B998" s="86"/>
      <c r="C998" s="86"/>
      <c r="D998" s="86"/>
      <c r="E998" s="86"/>
      <c r="F998" s="86"/>
    </row>
    <row r="999" spans="1:6" x14ac:dyDescent="0.15">
      <c r="A999" s="86"/>
      <c r="B999" s="86"/>
      <c r="C999" s="86"/>
      <c r="D999" s="86"/>
      <c r="E999" s="86"/>
      <c r="F999" s="86"/>
    </row>
    <row r="1000" spans="1:6" x14ac:dyDescent="0.15">
      <c r="A1000" s="86"/>
      <c r="B1000" s="86"/>
      <c r="C1000" s="86"/>
      <c r="D1000" s="86"/>
      <c r="E1000" s="86"/>
      <c r="F1000" s="86"/>
    </row>
    <row r="1001" spans="1:6" x14ac:dyDescent="0.15">
      <c r="A1001" s="86"/>
      <c r="B1001" s="86"/>
      <c r="C1001" s="86"/>
      <c r="D1001" s="86"/>
      <c r="E1001" s="86"/>
      <c r="F1001" s="86"/>
    </row>
    <row r="1002" spans="1:6" x14ac:dyDescent="0.15">
      <c r="A1002" s="86"/>
      <c r="B1002" s="86"/>
      <c r="C1002" s="86"/>
      <c r="D1002" s="86"/>
      <c r="E1002" s="86"/>
      <c r="F1002" s="86"/>
    </row>
    <row r="1003" spans="1:6" x14ac:dyDescent="0.15">
      <c r="A1003" s="86"/>
      <c r="B1003" s="86"/>
      <c r="C1003" s="86"/>
      <c r="D1003" s="86"/>
      <c r="E1003" s="86"/>
      <c r="F1003" s="86"/>
    </row>
    <row r="1004" spans="1:6" x14ac:dyDescent="0.15">
      <c r="A1004" s="86"/>
      <c r="B1004" s="86"/>
      <c r="C1004" s="86"/>
      <c r="D1004" s="86"/>
      <c r="E1004" s="86"/>
      <c r="F1004" s="86"/>
    </row>
    <row r="1005" spans="1:6" x14ac:dyDescent="0.15">
      <c r="A1005" s="86"/>
      <c r="B1005" s="86"/>
      <c r="C1005" s="86"/>
      <c r="D1005" s="86"/>
      <c r="E1005" s="86"/>
      <c r="F1005" s="86"/>
    </row>
    <row r="1006" spans="1:6" x14ac:dyDescent="0.15">
      <c r="A1006" s="86"/>
      <c r="B1006" s="86"/>
      <c r="C1006" s="86"/>
      <c r="D1006" s="86"/>
      <c r="E1006" s="86"/>
      <c r="F1006" s="86"/>
    </row>
    <row r="1007" spans="1:6" x14ac:dyDescent="0.15">
      <c r="A1007" s="86"/>
      <c r="B1007" s="86"/>
      <c r="C1007" s="86"/>
      <c r="D1007" s="86"/>
      <c r="E1007" s="86"/>
      <c r="F1007" s="86"/>
    </row>
    <row r="1008" spans="1:6" x14ac:dyDescent="0.15">
      <c r="A1008" s="86"/>
      <c r="B1008" s="86"/>
      <c r="C1008" s="86"/>
      <c r="D1008" s="86"/>
      <c r="E1008" s="86"/>
      <c r="F1008" s="86"/>
    </row>
    <row r="1009" spans="1:6" x14ac:dyDescent="0.15">
      <c r="A1009" s="86"/>
      <c r="B1009" s="86"/>
      <c r="C1009" s="86"/>
      <c r="D1009" s="86"/>
      <c r="E1009" s="86"/>
      <c r="F1009" s="86"/>
    </row>
    <row r="1010" spans="1:6" x14ac:dyDescent="0.15">
      <c r="A1010" s="86"/>
      <c r="B1010" s="86"/>
      <c r="C1010" s="86"/>
      <c r="D1010" s="86"/>
      <c r="E1010" s="86"/>
      <c r="F1010" s="86"/>
    </row>
    <row r="1011" spans="1:6" x14ac:dyDescent="0.15">
      <c r="A1011" s="86"/>
      <c r="B1011" s="86"/>
      <c r="C1011" s="86"/>
      <c r="D1011" s="86"/>
      <c r="E1011" s="86"/>
      <c r="F1011" s="86"/>
    </row>
    <row r="1012" spans="1:6" x14ac:dyDescent="0.15">
      <c r="A1012" s="86"/>
      <c r="B1012" s="86"/>
      <c r="C1012" s="86"/>
      <c r="D1012" s="86"/>
      <c r="E1012" s="86"/>
      <c r="F1012" s="86"/>
    </row>
    <row r="1013" spans="1:6" x14ac:dyDescent="0.15">
      <c r="A1013" s="86"/>
      <c r="B1013" s="86"/>
      <c r="C1013" s="86"/>
      <c r="D1013" s="86"/>
      <c r="E1013" s="86"/>
      <c r="F1013" s="86"/>
    </row>
    <row r="1014" spans="1:6" x14ac:dyDescent="0.15">
      <c r="A1014" s="86"/>
      <c r="B1014" s="86"/>
      <c r="C1014" s="86"/>
      <c r="D1014" s="86"/>
      <c r="E1014" s="86"/>
      <c r="F1014" s="86"/>
    </row>
    <row r="1015" spans="1:6" x14ac:dyDescent="0.15">
      <c r="A1015" s="86"/>
      <c r="B1015" s="86"/>
      <c r="C1015" s="86"/>
      <c r="D1015" s="86"/>
      <c r="E1015" s="86"/>
      <c r="F1015" s="86"/>
    </row>
    <row r="1016" spans="1:6" x14ac:dyDescent="0.15">
      <c r="A1016" s="86"/>
      <c r="B1016" s="86"/>
      <c r="C1016" s="86"/>
      <c r="D1016" s="86"/>
      <c r="E1016" s="86"/>
      <c r="F1016" s="86"/>
    </row>
    <row r="1017" spans="1:6" x14ac:dyDescent="0.15">
      <c r="A1017" s="86"/>
      <c r="B1017" s="86"/>
      <c r="C1017" s="86"/>
      <c r="D1017" s="86"/>
      <c r="E1017" s="86"/>
      <c r="F1017" s="86"/>
    </row>
    <row r="1018" spans="1:6" x14ac:dyDescent="0.15">
      <c r="A1018" s="86"/>
      <c r="B1018" s="86"/>
      <c r="C1018" s="86"/>
      <c r="D1018" s="86"/>
      <c r="E1018" s="86"/>
      <c r="F1018" s="86"/>
    </row>
    <row r="1019" spans="1:6" x14ac:dyDescent="0.15">
      <c r="A1019" s="86"/>
      <c r="B1019" s="86"/>
      <c r="C1019" s="86"/>
      <c r="D1019" s="86"/>
      <c r="E1019" s="86"/>
      <c r="F1019" s="86"/>
    </row>
    <row r="1020" spans="1:6" x14ac:dyDescent="0.15">
      <c r="A1020" s="86"/>
      <c r="B1020" s="86"/>
      <c r="C1020" s="86"/>
      <c r="D1020" s="86"/>
      <c r="E1020" s="86"/>
      <c r="F1020" s="86"/>
    </row>
    <row r="1021" spans="1:6" x14ac:dyDescent="0.15">
      <c r="A1021" s="86"/>
      <c r="B1021" s="86"/>
      <c r="C1021" s="86"/>
      <c r="D1021" s="86"/>
      <c r="E1021" s="86"/>
      <c r="F1021" s="86"/>
    </row>
    <row r="1022" spans="1:6" x14ac:dyDescent="0.15">
      <c r="A1022" s="86"/>
      <c r="B1022" s="86"/>
      <c r="C1022" s="86"/>
      <c r="D1022" s="86"/>
      <c r="E1022" s="86"/>
      <c r="F1022" s="86"/>
    </row>
    <row r="1023" spans="1:6" x14ac:dyDescent="0.15">
      <c r="A1023" s="86"/>
      <c r="B1023" s="86"/>
      <c r="C1023" s="86"/>
      <c r="D1023" s="86"/>
      <c r="E1023" s="86"/>
      <c r="F1023" s="86"/>
    </row>
    <row r="1024" spans="1:6" x14ac:dyDescent="0.15">
      <c r="A1024" s="86"/>
      <c r="B1024" s="86"/>
      <c r="C1024" s="86"/>
      <c r="D1024" s="86"/>
      <c r="E1024" s="86"/>
      <c r="F1024" s="86"/>
    </row>
    <row r="1025" spans="1:6" x14ac:dyDescent="0.15">
      <c r="A1025" s="86"/>
      <c r="B1025" s="86"/>
      <c r="C1025" s="86"/>
      <c r="D1025" s="86"/>
      <c r="E1025" s="86"/>
      <c r="F1025" s="86"/>
    </row>
    <row r="1026" spans="1:6" x14ac:dyDescent="0.15">
      <c r="A1026" s="86"/>
      <c r="B1026" s="86"/>
      <c r="C1026" s="86"/>
      <c r="D1026" s="86"/>
      <c r="E1026" s="86"/>
      <c r="F1026" s="86"/>
    </row>
    <row r="1027" spans="1:6" x14ac:dyDescent="0.15">
      <c r="A1027" s="86"/>
      <c r="B1027" s="86"/>
      <c r="C1027" s="86"/>
      <c r="D1027" s="86"/>
      <c r="E1027" s="86"/>
      <c r="F1027" s="86"/>
    </row>
    <row r="1028" spans="1:6" x14ac:dyDescent="0.15">
      <c r="A1028" s="86"/>
      <c r="B1028" s="86"/>
      <c r="C1028" s="86"/>
      <c r="D1028" s="86"/>
      <c r="E1028" s="86"/>
      <c r="F1028" s="86"/>
    </row>
    <row r="1029" spans="1:6" x14ac:dyDescent="0.15">
      <c r="A1029" s="86"/>
      <c r="B1029" s="86"/>
      <c r="C1029" s="86"/>
      <c r="D1029" s="86"/>
      <c r="E1029" s="86"/>
      <c r="F1029" s="86"/>
    </row>
    <row r="1030" spans="1:6" x14ac:dyDescent="0.15">
      <c r="A1030" s="86"/>
      <c r="B1030" s="86"/>
      <c r="C1030" s="86"/>
      <c r="D1030" s="86"/>
      <c r="E1030" s="86"/>
      <c r="F1030" s="86"/>
    </row>
    <row r="1031" spans="1:6" x14ac:dyDescent="0.15">
      <c r="A1031" s="86"/>
      <c r="B1031" s="86"/>
      <c r="C1031" s="86"/>
      <c r="D1031" s="86"/>
      <c r="E1031" s="86"/>
      <c r="F1031" s="86"/>
    </row>
    <row r="1032" spans="1:6" x14ac:dyDescent="0.15">
      <c r="A1032" s="86"/>
      <c r="B1032" s="86"/>
      <c r="C1032" s="86"/>
      <c r="D1032" s="86"/>
      <c r="E1032" s="86"/>
      <c r="F1032" s="86"/>
    </row>
    <row r="1033" spans="1:6" x14ac:dyDescent="0.15">
      <c r="A1033" s="86"/>
      <c r="B1033" s="86"/>
      <c r="C1033" s="86"/>
      <c r="D1033" s="86"/>
      <c r="E1033" s="86"/>
      <c r="F1033" s="86"/>
    </row>
    <row r="1034" spans="1:6" x14ac:dyDescent="0.15">
      <c r="A1034" s="86"/>
      <c r="B1034" s="86"/>
      <c r="C1034" s="86"/>
      <c r="D1034" s="86"/>
      <c r="E1034" s="86"/>
      <c r="F1034" s="86"/>
    </row>
    <row r="1035" spans="1:6" x14ac:dyDescent="0.15">
      <c r="A1035" s="86"/>
      <c r="B1035" s="86"/>
      <c r="C1035" s="86"/>
      <c r="D1035" s="86"/>
      <c r="E1035" s="86"/>
      <c r="F1035" s="86"/>
    </row>
    <row r="1036" spans="1:6" x14ac:dyDescent="0.15">
      <c r="A1036" s="86"/>
      <c r="B1036" s="86"/>
      <c r="C1036" s="86"/>
      <c r="D1036" s="86"/>
      <c r="E1036" s="86"/>
      <c r="F1036" s="86"/>
    </row>
    <row r="1037" spans="1:6" x14ac:dyDescent="0.15">
      <c r="A1037" s="86"/>
      <c r="B1037" s="86"/>
      <c r="C1037" s="86"/>
      <c r="D1037" s="86"/>
      <c r="E1037" s="86"/>
      <c r="F1037" s="86"/>
    </row>
    <row r="1038" spans="1:6" x14ac:dyDescent="0.15">
      <c r="A1038" s="86"/>
      <c r="B1038" s="86"/>
      <c r="C1038" s="86"/>
      <c r="D1038" s="86"/>
      <c r="E1038" s="86"/>
      <c r="F1038" s="86"/>
    </row>
    <row r="1039" spans="1:6" x14ac:dyDescent="0.15">
      <c r="A1039" s="86"/>
      <c r="B1039" s="86"/>
      <c r="C1039" s="86"/>
      <c r="D1039" s="86"/>
      <c r="E1039" s="86"/>
      <c r="F1039" s="86"/>
    </row>
    <row r="1040" spans="1:6" x14ac:dyDescent="0.15">
      <c r="A1040" s="86"/>
      <c r="B1040" s="86"/>
      <c r="C1040" s="86"/>
      <c r="D1040" s="86"/>
      <c r="E1040" s="86"/>
      <c r="F1040" s="86"/>
    </row>
    <row r="1041" spans="1:6" x14ac:dyDescent="0.15">
      <c r="A1041" s="86"/>
      <c r="B1041" s="86"/>
      <c r="C1041" s="86"/>
      <c r="D1041" s="86"/>
      <c r="E1041" s="86"/>
      <c r="F1041" s="86"/>
    </row>
    <row r="1042" spans="1:6" x14ac:dyDescent="0.15">
      <c r="A1042" s="86"/>
      <c r="B1042" s="86"/>
      <c r="C1042" s="86"/>
      <c r="D1042" s="86"/>
      <c r="E1042" s="86"/>
      <c r="F1042" s="86"/>
    </row>
    <row r="1043" spans="1:6" x14ac:dyDescent="0.15">
      <c r="A1043" s="86"/>
      <c r="B1043" s="86"/>
      <c r="C1043" s="86"/>
      <c r="D1043" s="86"/>
      <c r="E1043" s="86"/>
      <c r="F1043" s="86"/>
    </row>
    <row r="1044" spans="1:6" x14ac:dyDescent="0.15">
      <c r="A1044" s="86"/>
      <c r="B1044" s="86"/>
      <c r="C1044" s="86"/>
      <c r="D1044" s="86"/>
      <c r="E1044" s="86"/>
      <c r="F1044" s="86"/>
    </row>
    <row r="1045" spans="1:6" x14ac:dyDescent="0.15">
      <c r="A1045" s="86"/>
      <c r="B1045" s="86"/>
      <c r="C1045" s="86"/>
      <c r="D1045" s="86"/>
      <c r="E1045" s="86"/>
      <c r="F1045" s="86"/>
    </row>
    <row r="1046" spans="1:6" x14ac:dyDescent="0.15">
      <c r="A1046" s="86"/>
      <c r="B1046" s="86"/>
      <c r="C1046" s="86"/>
      <c r="D1046" s="86"/>
      <c r="E1046" s="86"/>
      <c r="F1046" s="86"/>
    </row>
    <row r="1047" spans="1:6" x14ac:dyDescent="0.15">
      <c r="A1047" s="86"/>
      <c r="B1047" s="86"/>
      <c r="C1047" s="86"/>
      <c r="D1047" s="86"/>
      <c r="E1047" s="86"/>
      <c r="F1047" s="86"/>
    </row>
    <row r="1048" spans="1:6" x14ac:dyDescent="0.15">
      <c r="A1048" s="86"/>
      <c r="B1048" s="86"/>
      <c r="C1048" s="86"/>
      <c r="D1048" s="86"/>
      <c r="E1048" s="86"/>
      <c r="F1048" s="86"/>
    </row>
    <row r="1049" spans="1:6" x14ac:dyDescent="0.15">
      <c r="A1049" s="86"/>
      <c r="B1049" s="86"/>
      <c r="C1049" s="86"/>
      <c r="D1049" s="86"/>
      <c r="E1049" s="86"/>
      <c r="F1049" s="86"/>
    </row>
    <row r="1050" spans="1:6" x14ac:dyDescent="0.15">
      <c r="A1050" s="86"/>
      <c r="B1050" s="86"/>
      <c r="C1050" s="86"/>
      <c r="D1050" s="86"/>
      <c r="E1050" s="86"/>
      <c r="F1050" s="86"/>
    </row>
    <row r="1051" spans="1:6" x14ac:dyDescent="0.15">
      <c r="A1051" s="86"/>
      <c r="B1051" s="86"/>
      <c r="C1051" s="86"/>
      <c r="D1051" s="86"/>
      <c r="E1051" s="86"/>
      <c r="F1051" s="86"/>
    </row>
    <row r="1052" spans="1:6" x14ac:dyDescent="0.15">
      <c r="A1052" s="86"/>
      <c r="B1052" s="86"/>
      <c r="C1052" s="86"/>
      <c r="D1052" s="86"/>
      <c r="E1052" s="86"/>
      <c r="F1052" s="86"/>
    </row>
    <row r="1053" spans="1:6" x14ac:dyDescent="0.15">
      <c r="A1053" s="86"/>
      <c r="B1053" s="86"/>
      <c r="C1053" s="86"/>
      <c r="D1053" s="86"/>
      <c r="E1053" s="86"/>
      <c r="F1053" s="86"/>
    </row>
    <row r="1054" spans="1:6" x14ac:dyDescent="0.15">
      <c r="A1054" s="86"/>
      <c r="B1054" s="86"/>
      <c r="C1054" s="86"/>
      <c r="D1054" s="86"/>
      <c r="E1054" s="86"/>
      <c r="F1054" s="86"/>
    </row>
    <row r="1055" spans="1:6" x14ac:dyDescent="0.15">
      <c r="A1055" s="86"/>
      <c r="B1055" s="86"/>
      <c r="C1055" s="86"/>
      <c r="D1055" s="86"/>
      <c r="E1055" s="86"/>
      <c r="F1055" s="86"/>
    </row>
    <row r="1056" spans="1:6" x14ac:dyDescent="0.15">
      <c r="A1056" s="86"/>
      <c r="B1056" s="86"/>
      <c r="C1056" s="86"/>
      <c r="D1056" s="86"/>
      <c r="E1056" s="86"/>
      <c r="F1056" s="86"/>
    </row>
    <row r="1057" spans="1:6" x14ac:dyDescent="0.15">
      <c r="A1057" s="86"/>
      <c r="B1057" s="86"/>
      <c r="C1057" s="86"/>
      <c r="D1057" s="86"/>
      <c r="E1057" s="86"/>
      <c r="F1057" s="86"/>
    </row>
    <row r="1058" spans="1:6" x14ac:dyDescent="0.15">
      <c r="A1058" s="86"/>
      <c r="B1058" s="86"/>
      <c r="C1058" s="86"/>
      <c r="D1058" s="86"/>
      <c r="E1058" s="86"/>
      <c r="F1058" s="86"/>
    </row>
    <row r="1059" spans="1:6" x14ac:dyDescent="0.15">
      <c r="A1059" s="86"/>
      <c r="B1059" s="86"/>
      <c r="C1059" s="86"/>
      <c r="D1059" s="86"/>
      <c r="E1059" s="86"/>
      <c r="F1059" s="86"/>
    </row>
    <row r="1060" spans="1:6" x14ac:dyDescent="0.15">
      <c r="A1060" s="86"/>
      <c r="B1060" s="86"/>
      <c r="C1060" s="86"/>
      <c r="D1060" s="86"/>
      <c r="E1060" s="86"/>
      <c r="F1060" s="86"/>
    </row>
    <row r="1061" spans="1:6" x14ac:dyDescent="0.15">
      <c r="A1061" s="86"/>
      <c r="B1061" s="86"/>
      <c r="C1061" s="86"/>
      <c r="D1061" s="86"/>
      <c r="E1061" s="86"/>
      <c r="F1061" s="86"/>
    </row>
    <row r="1062" spans="1:6" x14ac:dyDescent="0.15">
      <c r="A1062" s="86"/>
      <c r="B1062" s="86"/>
      <c r="C1062" s="86"/>
      <c r="D1062" s="86"/>
      <c r="E1062" s="86"/>
      <c r="F1062" s="86"/>
    </row>
    <row r="1063" spans="1:6" x14ac:dyDescent="0.15">
      <c r="A1063" s="86"/>
      <c r="B1063" s="86"/>
      <c r="C1063" s="86"/>
      <c r="D1063" s="86"/>
      <c r="E1063" s="86"/>
      <c r="F1063" s="86"/>
    </row>
    <row r="1064" spans="1:6" x14ac:dyDescent="0.15">
      <c r="A1064" s="86"/>
      <c r="B1064" s="86"/>
      <c r="C1064" s="86"/>
      <c r="D1064" s="86"/>
      <c r="E1064" s="86"/>
      <c r="F1064" s="86"/>
    </row>
    <row r="1065" spans="1:6" x14ac:dyDescent="0.15">
      <c r="A1065" s="86"/>
      <c r="B1065" s="86"/>
      <c r="C1065" s="86"/>
      <c r="D1065" s="86"/>
      <c r="E1065" s="86"/>
      <c r="F1065" s="86"/>
    </row>
    <row r="1066" spans="1:6" x14ac:dyDescent="0.15">
      <c r="A1066" s="86"/>
      <c r="B1066" s="86"/>
      <c r="C1066" s="86"/>
      <c r="D1066" s="86"/>
      <c r="E1066" s="86"/>
      <c r="F1066" s="86"/>
    </row>
    <row r="1067" spans="1:6" x14ac:dyDescent="0.15">
      <c r="A1067" s="86"/>
      <c r="B1067" s="86"/>
      <c r="C1067" s="86"/>
      <c r="D1067" s="86"/>
      <c r="E1067" s="86"/>
      <c r="F1067" s="86"/>
    </row>
    <row r="1068" spans="1:6" x14ac:dyDescent="0.15">
      <c r="A1068" s="86"/>
      <c r="B1068" s="86"/>
      <c r="C1068" s="86"/>
      <c r="D1068" s="86"/>
      <c r="E1068" s="86"/>
      <c r="F1068" s="86"/>
    </row>
    <row r="1069" spans="1:6" x14ac:dyDescent="0.15">
      <c r="A1069" s="86"/>
      <c r="B1069" s="86"/>
      <c r="C1069" s="86"/>
      <c r="D1069" s="86"/>
      <c r="E1069" s="86"/>
      <c r="F1069" s="86"/>
    </row>
    <row r="1070" spans="1:6" x14ac:dyDescent="0.15">
      <c r="A1070" s="86"/>
      <c r="B1070" s="86"/>
      <c r="C1070" s="86"/>
      <c r="D1070" s="86"/>
      <c r="E1070" s="86"/>
      <c r="F1070" s="86"/>
    </row>
    <row r="1071" spans="1:6" x14ac:dyDescent="0.15">
      <c r="A1071" s="86"/>
      <c r="B1071" s="86"/>
      <c r="C1071" s="86"/>
      <c r="D1071" s="86"/>
      <c r="E1071" s="86"/>
      <c r="F1071" s="86"/>
    </row>
    <row r="1072" spans="1:6" x14ac:dyDescent="0.15">
      <c r="A1072" s="86"/>
      <c r="B1072" s="86"/>
      <c r="C1072" s="86"/>
      <c r="D1072" s="86"/>
      <c r="E1072" s="86"/>
      <c r="F1072" s="86"/>
    </row>
    <row r="1073" spans="1:6" x14ac:dyDescent="0.15">
      <c r="A1073" s="86"/>
      <c r="B1073" s="86"/>
      <c r="C1073" s="86"/>
      <c r="D1073" s="86"/>
      <c r="E1073" s="86"/>
      <c r="F1073" s="86"/>
    </row>
    <row r="1074" spans="1:6" x14ac:dyDescent="0.15">
      <c r="A1074" s="86"/>
      <c r="B1074" s="86"/>
      <c r="C1074" s="86"/>
      <c r="D1074" s="86"/>
      <c r="E1074" s="86"/>
      <c r="F1074" s="86"/>
    </row>
    <row r="1075" spans="1:6" x14ac:dyDescent="0.15">
      <c r="A1075" s="86"/>
      <c r="B1075" s="86"/>
      <c r="C1075" s="86"/>
      <c r="D1075" s="86"/>
      <c r="E1075" s="86"/>
      <c r="F1075" s="86"/>
    </row>
    <row r="1076" spans="1:6" x14ac:dyDescent="0.15">
      <c r="A1076" s="86"/>
      <c r="B1076" s="86"/>
      <c r="C1076" s="86"/>
      <c r="D1076" s="86"/>
      <c r="E1076" s="86"/>
      <c r="F1076" s="86"/>
    </row>
    <row r="1077" spans="1:6" x14ac:dyDescent="0.15">
      <c r="A1077" s="86"/>
      <c r="B1077" s="86"/>
      <c r="C1077" s="86"/>
      <c r="D1077" s="86"/>
      <c r="E1077" s="86"/>
      <c r="F1077" s="86"/>
    </row>
    <row r="1078" spans="1:6" x14ac:dyDescent="0.15">
      <c r="A1078" s="86"/>
      <c r="B1078" s="86"/>
      <c r="C1078" s="86"/>
      <c r="D1078" s="86"/>
      <c r="E1078" s="86"/>
      <c r="F1078" s="86"/>
    </row>
    <row r="1079" spans="1:6" x14ac:dyDescent="0.15">
      <c r="A1079" s="86"/>
      <c r="B1079" s="86"/>
      <c r="C1079" s="86"/>
      <c r="D1079" s="86"/>
      <c r="E1079" s="86"/>
      <c r="F1079" s="86"/>
    </row>
    <row r="1080" spans="1:6" x14ac:dyDescent="0.15">
      <c r="A1080" s="86"/>
      <c r="B1080" s="86"/>
      <c r="C1080" s="86"/>
      <c r="D1080" s="86"/>
      <c r="E1080" s="86"/>
      <c r="F1080" s="86"/>
    </row>
    <row r="1081" spans="1:6" x14ac:dyDescent="0.15">
      <c r="A1081" s="86"/>
      <c r="B1081" s="86"/>
      <c r="C1081" s="86"/>
      <c r="D1081" s="86"/>
      <c r="E1081" s="86"/>
      <c r="F1081" s="86"/>
    </row>
    <row r="1082" spans="1:6" x14ac:dyDescent="0.15">
      <c r="A1082" s="86"/>
      <c r="B1082" s="86"/>
      <c r="C1082" s="86"/>
      <c r="D1082" s="86"/>
      <c r="E1082" s="86"/>
      <c r="F1082" s="86"/>
    </row>
    <row r="1083" spans="1:6" x14ac:dyDescent="0.15">
      <c r="A1083" s="86"/>
      <c r="B1083" s="86"/>
      <c r="C1083" s="86"/>
      <c r="D1083" s="86"/>
      <c r="E1083" s="86"/>
      <c r="F1083" s="86"/>
    </row>
    <row r="1084" spans="1:6" x14ac:dyDescent="0.15">
      <c r="A1084" s="86"/>
      <c r="B1084" s="86"/>
      <c r="C1084" s="86"/>
      <c r="D1084" s="86"/>
      <c r="E1084" s="86"/>
      <c r="F1084" s="86"/>
    </row>
    <row r="1085" spans="1:6" x14ac:dyDescent="0.15">
      <c r="A1085" s="86"/>
      <c r="B1085" s="86"/>
      <c r="C1085" s="86"/>
      <c r="D1085" s="86"/>
      <c r="E1085" s="86"/>
      <c r="F1085" s="86"/>
    </row>
    <row r="1086" spans="1:6" x14ac:dyDescent="0.15">
      <c r="A1086" s="86"/>
      <c r="B1086" s="86"/>
      <c r="C1086" s="86"/>
      <c r="D1086" s="86"/>
      <c r="E1086" s="86"/>
      <c r="F1086" s="86"/>
    </row>
    <row r="1087" spans="1:6" x14ac:dyDescent="0.15">
      <c r="A1087" s="86"/>
      <c r="B1087" s="86"/>
      <c r="C1087" s="86"/>
      <c r="D1087" s="86"/>
      <c r="E1087" s="86"/>
      <c r="F1087" s="86"/>
    </row>
    <row r="1088" spans="1:6" x14ac:dyDescent="0.15">
      <c r="A1088" s="86"/>
      <c r="B1088" s="86"/>
      <c r="C1088" s="86"/>
      <c r="D1088" s="86"/>
      <c r="E1088" s="86"/>
      <c r="F1088" s="86"/>
    </row>
    <row r="1089" spans="1:6" x14ac:dyDescent="0.15">
      <c r="A1089" s="86"/>
      <c r="B1089" s="86"/>
      <c r="C1089" s="86"/>
      <c r="D1089" s="86"/>
      <c r="E1089" s="86"/>
      <c r="F1089" s="86"/>
    </row>
    <row r="1090" spans="1:6" x14ac:dyDescent="0.15">
      <c r="A1090" s="86"/>
      <c r="B1090" s="86"/>
      <c r="C1090" s="86"/>
      <c r="D1090" s="86"/>
      <c r="E1090" s="86"/>
      <c r="F1090" s="86"/>
    </row>
    <row r="1091" spans="1:6" x14ac:dyDescent="0.15">
      <c r="A1091" s="86"/>
      <c r="B1091" s="86"/>
      <c r="C1091" s="86"/>
      <c r="D1091" s="86"/>
      <c r="E1091" s="86"/>
      <c r="F1091" s="86"/>
    </row>
    <row r="1092" spans="1:6" x14ac:dyDescent="0.15">
      <c r="A1092" s="86"/>
      <c r="B1092" s="86"/>
      <c r="C1092" s="86"/>
      <c r="D1092" s="86"/>
      <c r="E1092" s="86"/>
      <c r="F1092" s="86"/>
    </row>
    <row r="1093" spans="1:6" x14ac:dyDescent="0.15">
      <c r="A1093" s="86"/>
      <c r="B1093" s="86"/>
      <c r="C1093" s="86"/>
      <c r="D1093" s="86"/>
      <c r="E1093" s="86"/>
      <c r="F1093" s="86"/>
    </row>
    <row r="1094" spans="1:6" x14ac:dyDescent="0.15">
      <c r="A1094" s="86"/>
      <c r="B1094" s="86"/>
      <c r="C1094" s="86"/>
      <c r="D1094" s="86"/>
      <c r="E1094" s="86"/>
      <c r="F1094" s="86"/>
    </row>
    <row r="1095" spans="1:6" x14ac:dyDescent="0.15">
      <c r="A1095" s="86"/>
      <c r="B1095" s="86"/>
      <c r="C1095" s="86"/>
      <c r="D1095" s="86"/>
      <c r="E1095" s="86"/>
      <c r="F1095" s="86"/>
    </row>
    <row r="1096" spans="1:6" x14ac:dyDescent="0.15">
      <c r="A1096" s="86"/>
      <c r="B1096" s="86"/>
      <c r="C1096" s="86"/>
      <c r="D1096" s="86"/>
      <c r="E1096" s="86"/>
      <c r="F1096" s="86"/>
    </row>
    <row r="1097" spans="1:6" x14ac:dyDescent="0.15">
      <c r="A1097" s="86"/>
      <c r="B1097" s="86"/>
      <c r="C1097" s="86"/>
      <c r="D1097" s="86"/>
      <c r="E1097" s="86"/>
      <c r="F1097" s="86"/>
    </row>
    <row r="1098" spans="1:6" x14ac:dyDescent="0.15">
      <c r="A1098" s="86"/>
      <c r="B1098" s="86"/>
      <c r="C1098" s="86"/>
      <c r="D1098" s="86"/>
      <c r="E1098" s="86"/>
      <c r="F1098" s="86"/>
    </row>
    <row r="1099" spans="1:6" x14ac:dyDescent="0.15">
      <c r="A1099" s="86"/>
      <c r="B1099" s="86"/>
      <c r="C1099" s="86"/>
      <c r="D1099" s="86"/>
      <c r="E1099" s="86"/>
      <c r="F1099" s="86"/>
    </row>
    <row r="1100" spans="1:6" x14ac:dyDescent="0.15">
      <c r="A1100" s="86"/>
      <c r="B1100" s="86"/>
      <c r="C1100" s="86"/>
      <c r="D1100" s="86"/>
      <c r="E1100" s="86"/>
      <c r="F1100" s="86"/>
    </row>
    <row r="1101" spans="1:6" x14ac:dyDescent="0.15">
      <c r="A1101" s="86"/>
      <c r="B1101" s="86"/>
      <c r="C1101" s="86"/>
      <c r="D1101" s="86"/>
      <c r="E1101" s="86"/>
      <c r="F1101" s="86"/>
    </row>
    <row r="1102" spans="1:6" x14ac:dyDescent="0.15">
      <c r="A1102" s="86"/>
      <c r="B1102" s="86"/>
      <c r="C1102" s="86"/>
      <c r="D1102" s="86"/>
      <c r="E1102" s="86"/>
      <c r="F1102" s="86"/>
    </row>
    <row r="1103" spans="1:6" x14ac:dyDescent="0.15">
      <c r="A1103" s="86"/>
      <c r="B1103" s="86"/>
      <c r="C1103" s="86"/>
      <c r="D1103" s="86"/>
      <c r="E1103" s="86"/>
      <c r="F1103" s="86"/>
    </row>
    <row r="1104" spans="1:6" x14ac:dyDescent="0.15">
      <c r="A1104" s="86"/>
      <c r="B1104" s="86"/>
      <c r="C1104" s="86"/>
      <c r="D1104" s="86"/>
      <c r="E1104" s="86"/>
      <c r="F1104" s="86"/>
    </row>
    <row r="1105" spans="1:6" x14ac:dyDescent="0.15">
      <c r="A1105" s="86"/>
      <c r="B1105" s="86"/>
      <c r="C1105" s="86"/>
      <c r="D1105" s="86"/>
      <c r="E1105" s="86"/>
      <c r="F1105" s="86"/>
    </row>
    <row r="1106" spans="1:6" x14ac:dyDescent="0.15">
      <c r="A1106" s="86"/>
      <c r="B1106" s="86"/>
      <c r="C1106" s="86"/>
      <c r="D1106" s="86"/>
      <c r="E1106" s="86"/>
      <c r="F1106" s="86"/>
    </row>
    <row r="1107" spans="1:6" x14ac:dyDescent="0.15">
      <c r="A1107" s="86"/>
      <c r="B1107" s="86"/>
      <c r="C1107" s="86"/>
      <c r="D1107" s="86"/>
      <c r="E1107" s="86"/>
      <c r="F1107" s="86"/>
    </row>
    <row r="1108" spans="1:6" x14ac:dyDescent="0.15">
      <c r="A1108" s="86"/>
      <c r="B1108" s="86"/>
      <c r="C1108" s="86"/>
      <c r="D1108" s="86"/>
      <c r="E1108" s="86"/>
      <c r="F1108" s="86"/>
    </row>
    <row r="1109" spans="1:6" x14ac:dyDescent="0.15">
      <c r="A1109" s="86"/>
      <c r="B1109" s="86"/>
      <c r="C1109" s="86"/>
      <c r="D1109" s="86"/>
      <c r="E1109" s="86"/>
      <c r="F1109" s="86"/>
    </row>
    <row r="1110" spans="1:6" x14ac:dyDescent="0.15">
      <c r="A1110" s="86"/>
      <c r="B1110" s="86"/>
      <c r="C1110" s="86"/>
      <c r="D1110" s="86"/>
      <c r="E1110" s="86"/>
      <c r="F1110" s="86"/>
    </row>
    <row r="1111" spans="1:6" x14ac:dyDescent="0.15">
      <c r="A1111" s="86"/>
      <c r="B1111" s="86"/>
      <c r="C1111" s="86"/>
      <c r="D1111" s="86"/>
      <c r="E1111" s="86"/>
      <c r="F1111" s="86"/>
    </row>
    <row r="1112" spans="1:6" x14ac:dyDescent="0.15">
      <c r="A1112" s="86"/>
      <c r="B1112" s="86"/>
      <c r="C1112" s="86"/>
      <c r="D1112" s="86"/>
      <c r="E1112" s="86"/>
      <c r="F1112" s="86"/>
    </row>
    <row r="1113" spans="1:6" x14ac:dyDescent="0.15">
      <c r="A1113" s="86"/>
      <c r="B1113" s="86"/>
      <c r="C1113" s="86"/>
      <c r="D1113" s="86"/>
      <c r="E1113" s="86"/>
      <c r="F1113" s="86"/>
    </row>
    <row r="1114" spans="1:6" x14ac:dyDescent="0.15">
      <c r="A1114" s="86"/>
      <c r="B1114" s="86"/>
      <c r="C1114" s="86"/>
      <c r="D1114" s="86"/>
      <c r="E1114" s="86"/>
      <c r="F1114" s="86"/>
    </row>
    <row r="1115" spans="1:6" x14ac:dyDescent="0.15">
      <c r="A1115" s="86"/>
      <c r="B1115" s="86"/>
      <c r="C1115" s="86"/>
      <c r="D1115" s="86"/>
      <c r="E1115" s="86"/>
      <c r="F1115" s="86"/>
    </row>
    <row r="1116" spans="1:6" x14ac:dyDescent="0.15">
      <c r="A1116" s="86"/>
      <c r="B1116" s="86"/>
      <c r="C1116" s="86"/>
      <c r="D1116" s="86"/>
      <c r="E1116" s="86"/>
      <c r="F1116" s="86"/>
    </row>
    <row r="1117" spans="1:6" x14ac:dyDescent="0.15">
      <c r="A1117" s="86"/>
      <c r="B1117" s="86"/>
      <c r="C1117" s="86"/>
      <c r="D1117" s="86"/>
      <c r="E1117" s="86"/>
      <c r="F1117" s="86"/>
    </row>
    <row r="1118" spans="1:6" x14ac:dyDescent="0.15">
      <c r="A1118" s="86"/>
      <c r="B1118" s="86"/>
      <c r="C1118" s="86"/>
      <c r="D1118" s="86"/>
      <c r="E1118" s="86"/>
      <c r="F1118" s="86"/>
    </row>
    <row r="1119" spans="1:6" x14ac:dyDescent="0.15">
      <c r="A1119" s="86"/>
      <c r="B1119" s="86"/>
      <c r="C1119" s="86"/>
      <c r="D1119" s="86"/>
      <c r="E1119" s="86"/>
      <c r="F1119" s="86"/>
    </row>
    <row r="1120" spans="1:6" x14ac:dyDescent="0.15">
      <c r="A1120" s="86"/>
      <c r="B1120" s="86"/>
      <c r="C1120" s="86"/>
      <c r="D1120" s="86"/>
      <c r="E1120" s="86"/>
      <c r="F1120" s="86"/>
    </row>
    <row r="1121" spans="1:6" x14ac:dyDescent="0.15">
      <c r="A1121" s="86"/>
      <c r="B1121" s="86"/>
      <c r="C1121" s="86"/>
      <c r="D1121" s="86"/>
      <c r="E1121" s="86"/>
      <c r="F1121" s="86"/>
    </row>
    <row r="1122" spans="1:6" x14ac:dyDescent="0.15">
      <c r="A1122" s="86"/>
      <c r="B1122" s="86"/>
      <c r="C1122" s="86"/>
      <c r="D1122" s="86"/>
      <c r="E1122" s="86"/>
      <c r="F1122" s="86"/>
    </row>
    <row r="1123" spans="1:6" x14ac:dyDescent="0.15">
      <c r="A1123" s="86"/>
      <c r="B1123" s="86"/>
      <c r="C1123" s="86"/>
      <c r="D1123" s="86"/>
      <c r="E1123" s="86"/>
      <c r="F1123" s="86"/>
    </row>
    <row r="1124" spans="1:6" x14ac:dyDescent="0.15">
      <c r="A1124" s="86"/>
      <c r="B1124" s="86"/>
      <c r="C1124" s="86"/>
      <c r="D1124" s="86"/>
      <c r="E1124" s="86"/>
      <c r="F1124" s="86"/>
    </row>
    <row r="1125" spans="1:6" x14ac:dyDescent="0.15">
      <c r="A1125" s="86"/>
      <c r="B1125" s="86"/>
      <c r="C1125" s="86"/>
      <c r="D1125" s="86"/>
      <c r="E1125" s="86"/>
      <c r="F1125" s="86"/>
    </row>
    <row r="1126" spans="1:6" x14ac:dyDescent="0.15">
      <c r="A1126" s="86"/>
      <c r="B1126" s="86"/>
      <c r="C1126" s="86"/>
      <c r="D1126" s="86"/>
      <c r="E1126" s="86"/>
      <c r="F1126" s="86"/>
    </row>
    <row r="1127" spans="1:6" x14ac:dyDescent="0.15">
      <c r="A1127" s="86"/>
      <c r="B1127" s="86"/>
      <c r="C1127" s="86"/>
      <c r="D1127" s="86"/>
      <c r="E1127" s="86"/>
      <c r="F1127" s="86"/>
    </row>
    <row r="1128" spans="1:6" x14ac:dyDescent="0.15">
      <c r="A1128" s="86"/>
      <c r="B1128" s="86"/>
      <c r="C1128" s="86"/>
      <c r="D1128" s="86"/>
      <c r="E1128" s="86"/>
      <c r="F1128" s="86"/>
    </row>
    <row r="1129" spans="1:6" x14ac:dyDescent="0.15">
      <c r="A1129" s="86"/>
      <c r="B1129" s="86"/>
      <c r="C1129" s="86"/>
      <c r="D1129" s="86"/>
      <c r="E1129" s="86"/>
      <c r="F1129" s="86"/>
    </row>
    <row r="1130" spans="1:6" x14ac:dyDescent="0.15">
      <c r="A1130" s="86"/>
      <c r="B1130" s="86"/>
      <c r="C1130" s="86"/>
      <c r="D1130" s="86"/>
      <c r="E1130" s="86"/>
      <c r="F1130" s="86"/>
    </row>
    <row r="1131" spans="1:6" x14ac:dyDescent="0.15">
      <c r="A1131" s="86"/>
      <c r="B1131" s="86"/>
      <c r="C1131" s="86"/>
      <c r="D1131" s="86"/>
      <c r="E1131" s="86"/>
      <c r="F1131" s="86"/>
    </row>
    <row r="1132" spans="1:6" x14ac:dyDescent="0.15">
      <c r="A1132" s="86"/>
      <c r="B1132" s="86"/>
      <c r="C1132" s="86"/>
      <c r="D1132" s="86"/>
      <c r="E1132" s="86"/>
      <c r="F1132" s="86"/>
    </row>
    <row r="1133" spans="1:6" x14ac:dyDescent="0.15">
      <c r="A1133" s="86"/>
      <c r="B1133" s="86"/>
      <c r="C1133" s="86"/>
      <c r="D1133" s="86"/>
      <c r="E1133" s="86"/>
      <c r="F1133" s="86"/>
    </row>
    <row r="1134" spans="1:6" x14ac:dyDescent="0.15">
      <c r="A1134" s="86"/>
      <c r="B1134" s="86"/>
      <c r="C1134" s="86"/>
      <c r="D1134" s="86"/>
      <c r="E1134" s="86"/>
      <c r="F1134" s="86"/>
    </row>
    <row r="1135" spans="1:6" x14ac:dyDescent="0.15">
      <c r="A1135" s="86"/>
      <c r="B1135" s="86"/>
      <c r="C1135" s="86"/>
      <c r="D1135" s="86"/>
      <c r="E1135" s="86"/>
      <c r="F1135" s="86"/>
    </row>
    <row r="1136" spans="1:6" x14ac:dyDescent="0.15">
      <c r="A1136" s="86"/>
      <c r="B1136" s="86"/>
      <c r="C1136" s="86"/>
      <c r="D1136" s="86"/>
      <c r="E1136" s="86"/>
      <c r="F1136" s="86"/>
    </row>
    <row r="1137" spans="1:6" x14ac:dyDescent="0.15">
      <c r="A1137" s="86"/>
      <c r="B1137" s="86"/>
      <c r="C1137" s="86"/>
      <c r="D1137" s="86"/>
      <c r="E1137" s="86"/>
      <c r="F1137" s="86"/>
    </row>
    <row r="1138" spans="1:6" x14ac:dyDescent="0.15">
      <c r="A1138" s="86"/>
      <c r="B1138" s="86"/>
      <c r="C1138" s="86"/>
      <c r="D1138" s="86"/>
      <c r="E1138" s="86"/>
      <c r="F1138" s="86"/>
    </row>
    <row r="1139" spans="1:6" x14ac:dyDescent="0.15">
      <c r="A1139" s="86"/>
      <c r="B1139" s="86"/>
      <c r="C1139" s="86"/>
      <c r="D1139" s="86"/>
      <c r="E1139" s="86"/>
      <c r="F1139" s="86"/>
    </row>
    <row r="1140" spans="1:6" x14ac:dyDescent="0.15">
      <c r="A1140" s="86"/>
      <c r="B1140" s="86"/>
      <c r="C1140" s="86"/>
      <c r="D1140" s="86"/>
      <c r="E1140" s="86"/>
      <c r="F1140" s="86"/>
    </row>
    <row r="1141" spans="1:6" x14ac:dyDescent="0.15">
      <c r="A1141" s="86"/>
      <c r="B1141" s="86"/>
      <c r="C1141" s="86"/>
      <c r="D1141" s="86"/>
      <c r="E1141" s="86"/>
      <c r="F1141" s="86"/>
    </row>
    <row r="1142" spans="1:6" x14ac:dyDescent="0.15">
      <c r="A1142" s="86"/>
      <c r="B1142" s="86"/>
      <c r="C1142" s="86"/>
      <c r="D1142" s="86"/>
      <c r="E1142" s="86"/>
      <c r="F1142" s="86"/>
    </row>
    <row r="1143" spans="1:6" x14ac:dyDescent="0.15">
      <c r="A1143" s="86"/>
      <c r="B1143" s="86"/>
      <c r="C1143" s="86"/>
      <c r="D1143" s="86"/>
      <c r="E1143" s="86"/>
      <c r="F1143" s="86"/>
    </row>
    <row r="1144" spans="1:6" x14ac:dyDescent="0.15">
      <c r="A1144" s="86"/>
      <c r="B1144" s="86"/>
      <c r="C1144" s="86"/>
      <c r="D1144" s="86"/>
      <c r="E1144" s="86"/>
      <c r="F1144" s="86"/>
    </row>
    <row r="1145" spans="1:6" x14ac:dyDescent="0.15">
      <c r="A1145" s="86"/>
      <c r="B1145" s="86"/>
      <c r="C1145" s="86"/>
      <c r="D1145" s="86"/>
      <c r="E1145" s="86"/>
      <c r="F1145" s="86"/>
    </row>
    <row r="1146" spans="1:6" x14ac:dyDescent="0.15">
      <c r="A1146" s="86"/>
      <c r="B1146" s="86"/>
      <c r="C1146" s="86"/>
      <c r="D1146" s="86"/>
      <c r="E1146" s="86"/>
      <c r="F1146" s="86"/>
    </row>
    <row r="1147" spans="1:6" x14ac:dyDescent="0.15">
      <c r="A1147" s="86"/>
      <c r="B1147" s="86"/>
      <c r="C1147" s="86"/>
      <c r="D1147" s="86"/>
      <c r="E1147" s="86"/>
      <c r="F1147" s="86"/>
    </row>
    <row r="1148" spans="1:6" x14ac:dyDescent="0.15">
      <c r="A1148" s="86"/>
      <c r="B1148" s="86"/>
      <c r="C1148" s="86"/>
      <c r="D1148" s="86"/>
      <c r="E1148" s="86"/>
      <c r="F1148" s="86"/>
    </row>
    <row r="1149" spans="1:6" x14ac:dyDescent="0.15">
      <c r="A1149" s="86"/>
      <c r="B1149" s="86"/>
      <c r="C1149" s="86"/>
      <c r="D1149" s="86"/>
      <c r="E1149" s="86"/>
      <c r="F1149" s="86"/>
    </row>
    <row r="1150" spans="1:6" x14ac:dyDescent="0.15">
      <c r="A1150" s="86"/>
      <c r="B1150" s="86"/>
      <c r="C1150" s="86"/>
      <c r="D1150" s="86"/>
      <c r="E1150" s="86"/>
      <c r="F1150" s="86"/>
    </row>
    <row r="1151" spans="1:6" x14ac:dyDescent="0.15">
      <c r="A1151" s="86"/>
      <c r="B1151" s="86"/>
      <c r="C1151" s="86"/>
      <c r="D1151" s="86"/>
      <c r="E1151" s="86"/>
      <c r="F1151" s="86"/>
    </row>
    <row r="1152" spans="1:6" x14ac:dyDescent="0.15">
      <c r="A1152" s="86"/>
      <c r="B1152" s="86"/>
      <c r="C1152" s="86"/>
      <c r="D1152" s="86"/>
      <c r="E1152" s="86"/>
      <c r="F1152" s="86"/>
    </row>
    <row r="1153" spans="1:6" x14ac:dyDescent="0.15">
      <c r="A1153" s="86"/>
      <c r="B1153" s="86"/>
      <c r="C1153" s="86"/>
      <c r="D1153" s="86"/>
      <c r="E1153" s="86"/>
      <c r="F1153" s="86"/>
    </row>
    <row r="1154" spans="1:6" x14ac:dyDescent="0.15">
      <c r="A1154" s="86"/>
      <c r="B1154" s="86"/>
      <c r="C1154" s="86"/>
      <c r="D1154" s="86"/>
      <c r="E1154" s="86"/>
      <c r="F1154" s="86"/>
    </row>
    <row r="1155" spans="1:6" x14ac:dyDescent="0.15">
      <c r="A1155" s="86"/>
      <c r="B1155" s="86"/>
      <c r="C1155" s="86"/>
      <c r="D1155" s="86"/>
      <c r="E1155" s="86"/>
      <c r="F1155" s="86"/>
    </row>
    <row r="1156" spans="1:6" x14ac:dyDescent="0.15">
      <c r="A1156" s="86"/>
      <c r="B1156" s="86"/>
      <c r="C1156" s="86"/>
      <c r="D1156" s="86"/>
      <c r="E1156" s="86"/>
      <c r="F1156" s="86"/>
    </row>
    <row r="1157" spans="1:6" x14ac:dyDescent="0.15">
      <c r="A1157" s="86"/>
      <c r="B1157" s="86"/>
      <c r="C1157" s="86"/>
      <c r="D1157" s="86"/>
      <c r="E1157" s="86"/>
      <c r="F1157" s="86"/>
    </row>
    <row r="1158" spans="1:6" x14ac:dyDescent="0.15">
      <c r="A1158" s="86"/>
      <c r="B1158" s="86"/>
      <c r="C1158" s="86"/>
      <c r="D1158" s="86"/>
      <c r="E1158" s="86"/>
      <c r="F1158" s="86"/>
    </row>
    <row r="1159" spans="1:6" x14ac:dyDescent="0.15">
      <c r="A1159" s="86"/>
      <c r="B1159" s="86"/>
      <c r="C1159" s="86"/>
      <c r="D1159" s="86"/>
      <c r="E1159" s="86"/>
      <c r="F1159" s="86"/>
    </row>
    <row r="1160" spans="1:6" x14ac:dyDescent="0.15">
      <c r="A1160" s="86"/>
      <c r="B1160" s="86"/>
      <c r="C1160" s="86"/>
      <c r="D1160" s="86"/>
      <c r="E1160" s="86"/>
      <c r="F1160" s="86"/>
    </row>
    <row r="1161" spans="1:6" x14ac:dyDescent="0.15">
      <c r="A1161" s="86"/>
      <c r="B1161" s="86"/>
      <c r="C1161" s="86"/>
      <c r="D1161" s="86"/>
      <c r="E1161" s="86"/>
      <c r="F1161" s="86"/>
    </row>
    <row r="1162" spans="1:6" x14ac:dyDescent="0.15">
      <c r="A1162" s="86"/>
      <c r="B1162" s="86"/>
      <c r="C1162" s="86"/>
      <c r="D1162" s="86"/>
      <c r="E1162" s="86"/>
      <c r="F1162" s="86"/>
    </row>
    <row r="1163" spans="1:6" x14ac:dyDescent="0.15">
      <c r="A1163" s="86"/>
      <c r="B1163" s="86"/>
      <c r="C1163" s="86"/>
      <c r="D1163" s="86"/>
      <c r="E1163" s="86"/>
      <c r="F1163" s="86"/>
    </row>
    <row r="1164" spans="1:6" x14ac:dyDescent="0.15">
      <c r="A1164" s="86"/>
      <c r="B1164" s="86"/>
      <c r="C1164" s="86"/>
      <c r="D1164" s="86"/>
      <c r="E1164" s="86"/>
      <c r="F1164" s="86"/>
    </row>
    <row r="1165" spans="1:6" x14ac:dyDescent="0.15">
      <c r="A1165" s="86"/>
      <c r="B1165" s="86"/>
      <c r="C1165" s="86"/>
      <c r="D1165" s="86"/>
      <c r="E1165" s="86"/>
      <c r="F1165" s="86"/>
    </row>
    <row r="1166" spans="1:6" x14ac:dyDescent="0.15">
      <c r="A1166" s="86"/>
      <c r="B1166" s="86"/>
      <c r="C1166" s="86"/>
      <c r="D1166" s="86"/>
      <c r="E1166" s="86"/>
      <c r="F1166" s="86"/>
    </row>
    <row r="1167" spans="1:6" x14ac:dyDescent="0.15">
      <c r="A1167" s="86"/>
      <c r="B1167" s="86"/>
      <c r="C1167" s="86"/>
      <c r="D1167" s="86"/>
      <c r="E1167" s="86"/>
      <c r="F1167" s="86"/>
    </row>
    <row r="1168" spans="1:6" x14ac:dyDescent="0.15">
      <c r="A1168" s="86"/>
      <c r="B1168" s="86"/>
      <c r="C1168" s="86"/>
      <c r="D1168" s="86"/>
      <c r="E1168" s="86"/>
      <c r="F1168" s="86"/>
    </row>
    <row r="1169" spans="1:6" x14ac:dyDescent="0.15">
      <c r="A1169" s="86"/>
      <c r="B1169" s="86"/>
      <c r="C1169" s="86"/>
      <c r="D1169" s="86"/>
      <c r="E1169" s="86"/>
      <c r="F1169" s="86"/>
    </row>
    <row r="1170" spans="1:6" x14ac:dyDescent="0.15">
      <c r="A1170" s="86"/>
      <c r="B1170" s="86"/>
      <c r="C1170" s="86"/>
      <c r="D1170" s="86"/>
      <c r="E1170" s="86"/>
      <c r="F1170" s="86"/>
    </row>
    <row r="1171" spans="1:6" x14ac:dyDescent="0.15">
      <c r="A1171" s="86"/>
      <c r="B1171" s="86"/>
      <c r="C1171" s="86"/>
      <c r="D1171" s="86"/>
      <c r="E1171" s="86"/>
      <c r="F1171" s="86"/>
    </row>
    <row r="1172" spans="1:6" x14ac:dyDescent="0.15">
      <c r="A1172" s="86"/>
      <c r="B1172" s="86"/>
      <c r="C1172" s="86"/>
      <c r="D1172" s="86"/>
      <c r="E1172" s="86"/>
      <c r="F1172" s="86"/>
    </row>
    <row r="1173" spans="1:6" x14ac:dyDescent="0.15">
      <c r="A1173" s="86"/>
      <c r="B1173" s="86"/>
      <c r="C1173" s="86"/>
      <c r="D1173" s="86"/>
      <c r="E1173" s="86"/>
      <c r="F1173" s="86"/>
    </row>
    <row r="1174" spans="1:6" x14ac:dyDescent="0.15">
      <c r="A1174" s="86"/>
      <c r="B1174" s="86"/>
      <c r="C1174" s="86"/>
      <c r="D1174" s="86"/>
      <c r="E1174" s="86"/>
      <c r="F1174" s="86"/>
    </row>
    <row r="1175" spans="1:6" x14ac:dyDescent="0.15">
      <c r="A1175" s="86"/>
      <c r="B1175" s="86"/>
      <c r="C1175" s="86"/>
      <c r="D1175" s="86"/>
      <c r="E1175" s="86"/>
      <c r="F1175" s="86"/>
    </row>
    <row r="1176" spans="1:6" x14ac:dyDescent="0.15">
      <c r="A1176" s="86"/>
      <c r="B1176" s="86"/>
      <c r="C1176" s="86"/>
      <c r="D1176" s="86"/>
      <c r="E1176" s="86"/>
      <c r="F1176" s="86"/>
    </row>
    <row r="1177" spans="1:6" x14ac:dyDescent="0.15">
      <c r="A1177" s="86"/>
      <c r="B1177" s="86"/>
      <c r="C1177" s="86"/>
      <c r="D1177" s="86"/>
      <c r="E1177" s="86"/>
      <c r="F1177" s="86"/>
    </row>
    <row r="1178" spans="1:6" x14ac:dyDescent="0.15">
      <c r="A1178" s="86"/>
      <c r="B1178" s="86"/>
      <c r="C1178" s="86"/>
      <c r="D1178" s="86"/>
      <c r="E1178" s="86"/>
      <c r="F1178" s="86"/>
    </row>
    <row r="1179" spans="1:6" x14ac:dyDescent="0.15">
      <c r="A1179" s="86"/>
      <c r="B1179" s="86"/>
      <c r="C1179" s="86"/>
      <c r="D1179" s="86"/>
      <c r="E1179" s="86"/>
      <c r="F1179" s="86"/>
    </row>
    <row r="1180" spans="1:6" x14ac:dyDescent="0.15">
      <c r="A1180" s="86"/>
      <c r="B1180" s="86"/>
      <c r="C1180" s="86"/>
      <c r="D1180" s="86"/>
      <c r="E1180" s="86"/>
      <c r="F1180" s="86"/>
    </row>
    <row r="1181" spans="1:6" x14ac:dyDescent="0.15">
      <c r="A1181" s="86"/>
      <c r="B1181" s="86"/>
      <c r="C1181" s="86"/>
      <c r="D1181" s="86"/>
      <c r="E1181" s="86"/>
      <c r="F1181" s="86"/>
    </row>
    <row r="1182" spans="1:6" x14ac:dyDescent="0.15">
      <c r="A1182" s="86"/>
      <c r="B1182" s="86"/>
      <c r="C1182" s="86"/>
      <c r="D1182" s="86"/>
      <c r="E1182" s="86"/>
      <c r="F1182" s="86"/>
    </row>
    <row r="1183" spans="1:6" x14ac:dyDescent="0.15">
      <c r="A1183" s="86"/>
      <c r="B1183" s="86"/>
      <c r="C1183" s="86"/>
      <c r="D1183" s="86"/>
      <c r="E1183" s="86"/>
      <c r="F1183" s="86"/>
    </row>
    <row r="1184" spans="1:6" x14ac:dyDescent="0.15">
      <c r="A1184" s="86"/>
      <c r="B1184" s="86"/>
      <c r="C1184" s="86"/>
      <c r="D1184" s="86"/>
      <c r="E1184" s="86"/>
      <c r="F1184" s="86"/>
    </row>
    <row r="1185" spans="1:6" x14ac:dyDescent="0.15">
      <c r="A1185" s="86"/>
      <c r="B1185" s="86"/>
      <c r="C1185" s="86"/>
      <c r="D1185" s="86"/>
      <c r="E1185" s="86"/>
      <c r="F1185" s="86"/>
    </row>
    <row r="1186" spans="1:6" x14ac:dyDescent="0.15">
      <c r="A1186" s="86"/>
      <c r="B1186" s="86"/>
      <c r="C1186" s="86"/>
      <c r="D1186" s="86"/>
      <c r="E1186" s="86"/>
      <c r="F1186" s="86"/>
    </row>
    <row r="1187" spans="1:6" x14ac:dyDescent="0.15">
      <c r="A1187" s="86"/>
      <c r="B1187" s="86"/>
      <c r="C1187" s="86"/>
      <c r="D1187" s="86"/>
      <c r="E1187" s="86"/>
      <c r="F1187" s="86"/>
    </row>
    <row r="1188" spans="1:6" x14ac:dyDescent="0.15">
      <c r="A1188" s="86"/>
      <c r="B1188" s="86"/>
      <c r="C1188" s="86"/>
      <c r="D1188" s="86"/>
      <c r="E1188" s="86"/>
      <c r="F1188" s="86"/>
    </row>
    <row r="1189" spans="1:6" x14ac:dyDescent="0.15">
      <c r="A1189" s="86"/>
      <c r="B1189" s="86"/>
      <c r="C1189" s="86"/>
      <c r="D1189" s="86"/>
      <c r="E1189" s="86"/>
      <c r="F1189" s="86"/>
    </row>
    <row r="1190" spans="1:6" x14ac:dyDescent="0.15">
      <c r="A1190" s="86"/>
      <c r="B1190" s="86"/>
      <c r="C1190" s="86"/>
      <c r="D1190" s="86"/>
      <c r="E1190" s="86"/>
      <c r="F1190" s="86"/>
    </row>
    <row r="1191" spans="1:6" x14ac:dyDescent="0.15">
      <c r="A1191" s="86"/>
      <c r="B1191" s="86"/>
      <c r="C1191" s="86"/>
      <c r="D1191" s="86"/>
      <c r="E1191" s="86"/>
      <c r="F1191" s="86"/>
    </row>
    <row r="1192" spans="1:6" x14ac:dyDescent="0.15">
      <c r="A1192" s="86"/>
      <c r="B1192" s="86"/>
      <c r="C1192" s="86"/>
      <c r="D1192" s="86"/>
      <c r="E1192" s="86"/>
      <c r="F1192" s="86"/>
    </row>
    <row r="1193" spans="1:6" x14ac:dyDescent="0.15">
      <c r="A1193" s="86"/>
      <c r="B1193" s="86"/>
      <c r="C1193" s="86"/>
      <c r="D1193" s="86"/>
      <c r="E1193" s="86"/>
      <c r="F1193" s="86"/>
    </row>
    <row r="1194" spans="1:6" x14ac:dyDescent="0.15">
      <c r="A1194" s="86"/>
      <c r="B1194" s="86"/>
      <c r="C1194" s="86"/>
      <c r="D1194" s="86"/>
      <c r="E1194" s="86"/>
      <c r="F1194" s="86"/>
    </row>
    <row r="1195" spans="1:6" x14ac:dyDescent="0.15">
      <c r="A1195" s="86"/>
      <c r="B1195" s="86"/>
      <c r="C1195" s="86"/>
      <c r="D1195" s="86"/>
      <c r="E1195" s="86"/>
      <c r="F1195" s="86"/>
    </row>
    <row r="1196" spans="1:6" x14ac:dyDescent="0.15">
      <c r="A1196" s="86"/>
      <c r="B1196" s="86"/>
      <c r="C1196" s="86"/>
      <c r="D1196" s="86"/>
      <c r="E1196" s="86"/>
      <c r="F1196" s="86"/>
    </row>
    <row r="1197" spans="1:6" x14ac:dyDescent="0.15">
      <c r="A1197" s="86"/>
      <c r="B1197" s="86"/>
      <c r="C1197" s="86"/>
      <c r="D1197" s="86"/>
      <c r="E1197" s="86"/>
      <c r="F1197" s="86"/>
    </row>
    <row r="1198" spans="1:6" x14ac:dyDescent="0.15">
      <c r="A1198" s="86"/>
      <c r="B1198" s="86"/>
      <c r="C1198" s="86"/>
      <c r="D1198" s="86"/>
      <c r="E1198" s="86"/>
      <c r="F1198" s="86"/>
    </row>
    <row r="1199" spans="1:6" x14ac:dyDescent="0.15">
      <c r="A1199" s="86"/>
      <c r="B1199" s="86"/>
      <c r="C1199" s="86"/>
      <c r="D1199" s="86"/>
      <c r="E1199" s="86"/>
      <c r="F1199" s="86"/>
    </row>
    <row r="1200" spans="1:6" x14ac:dyDescent="0.15">
      <c r="A1200" s="86"/>
      <c r="B1200" s="86"/>
      <c r="C1200" s="86"/>
      <c r="D1200" s="86"/>
      <c r="E1200" s="86"/>
      <c r="F1200" s="86"/>
    </row>
    <row r="1201" spans="1:6" x14ac:dyDescent="0.15">
      <c r="A1201" s="86"/>
      <c r="B1201" s="86"/>
      <c r="C1201" s="86"/>
      <c r="D1201" s="86"/>
      <c r="E1201" s="86"/>
      <c r="F1201" s="86"/>
    </row>
    <row r="1202" spans="1:6" x14ac:dyDescent="0.15">
      <c r="A1202" s="86"/>
      <c r="B1202" s="86"/>
      <c r="C1202" s="86"/>
      <c r="D1202" s="86"/>
      <c r="E1202" s="86"/>
      <c r="F1202" s="86"/>
    </row>
    <row r="1203" spans="1:6" x14ac:dyDescent="0.15">
      <c r="A1203" s="86"/>
      <c r="B1203" s="86"/>
      <c r="C1203" s="86"/>
      <c r="D1203" s="86"/>
      <c r="E1203" s="86"/>
      <c r="F1203" s="86"/>
    </row>
    <row r="1204" spans="1:6" x14ac:dyDescent="0.15">
      <c r="A1204" s="86"/>
      <c r="B1204" s="86"/>
      <c r="C1204" s="86"/>
      <c r="D1204" s="86"/>
      <c r="E1204" s="86"/>
      <c r="F1204" s="86"/>
    </row>
    <row r="1205" spans="1:6" x14ac:dyDescent="0.15">
      <c r="A1205" s="86"/>
      <c r="B1205" s="86"/>
      <c r="C1205" s="86"/>
      <c r="D1205" s="86"/>
      <c r="E1205" s="86"/>
      <c r="F1205" s="86"/>
    </row>
    <row r="1206" spans="1:6" x14ac:dyDescent="0.15">
      <c r="A1206" s="86"/>
      <c r="B1206" s="86"/>
      <c r="C1206" s="86"/>
      <c r="D1206" s="86"/>
      <c r="E1206" s="86"/>
      <c r="F1206" s="86"/>
    </row>
    <row r="1207" spans="1:6" x14ac:dyDescent="0.15">
      <c r="A1207" s="86"/>
      <c r="B1207" s="86"/>
      <c r="C1207" s="86"/>
      <c r="D1207" s="86"/>
      <c r="E1207" s="86"/>
      <c r="F1207" s="86"/>
    </row>
    <row r="1208" spans="1:6" x14ac:dyDescent="0.15">
      <c r="A1208" s="86"/>
      <c r="B1208" s="86"/>
      <c r="C1208" s="86"/>
      <c r="D1208" s="86"/>
      <c r="E1208" s="86"/>
      <c r="F1208" s="86"/>
    </row>
    <row r="1209" spans="1:6" x14ac:dyDescent="0.15">
      <c r="A1209" s="86"/>
      <c r="B1209" s="86"/>
      <c r="C1209" s="86"/>
      <c r="D1209" s="86"/>
      <c r="E1209" s="86"/>
      <c r="F1209" s="86"/>
    </row>
    <row r="1210" spans="1:6" x14ac:dyDescent="0.15">
      <c r="A1210" s="86"/>
      <c r="B1210" s="86"/>
      <c r="C1210" s="86"/>
      <c r="D1210" s="86"/>
      <c r="E1210" s="86"/>
      <c r="F1210" s="86"/>
    </row>
    <row r="1211" spans="1:6" x14ac:dyDescent="0.15">
      <c r="A1211" s="86"/>
      <c r="B1211" s="86"/>
      <c r="C1211" s="86"/>
      <c r="D1211" s="86"/>
      <c r="E1211" s="86"/>
      <c r="F1211" s="86"/>
    </row>
    <row r="1212" spans="1:6" x14ac:dyDescent="0.15">
      <c r="A1212" s="86"/>
      <c r="B1212" s="86"/>
      <c r="C1212" s="86"/>
      <c r="D1212" s="86"/>
      <c r="E1212" s="86"/>
      <c r="F1212" s="86"/>
    </row>
    <row r="1213" spans="1:6" x14ac:dyDescent="0.15">
      <c r="A1213" s="86"/>
      <c r="B1213" s="86"/>
      <c r="C1213" s="86"/>
      <c r="D1213" s="86"/>
      <c r="E1213" s="86"/>
      <c r="F1213" s="86"/>
    </row>
    <row r="1214" spans="1:6" x14ac:dyDescent="0.15">
      <c r="A1214" s="86"/>
      <c r="B1214" s="86"/>
      <c r="C1214" s="86"/>
      <c r="D1214" s="86"/>
      <c r="E1214" s="86"/>
      <c r="F1214" s="86"/>
    </row>
    <row r="1215" spans="1:6" x14ac:dyDescent="0.15">
      <c r="A1215" s="86"/>
      <c r="B1215" s="86"/>
      <c r="C1215" s="86"/>
      <c r="D1215" s="86"/>
      <c r="E1215" s="86"/>
      <c r="F1215" s="86"/>
    </row>
    <row r="1216" spans="1:6" x14ac:dyDescent="0.15">
      <c r="A1216" s="86"/>
      <c r="B1216" s="86"/>
      <c r="C1216" s="86"/>
      <c r="D1216" s="86"/>
      <c r="E1216" s="86"/>
      <c r="F1216" s="86"/>
    </row>
    <row r="1217" spans="1:6" x14ac:dyDescent="0.15">
      <c r="A1217" s="86"/>
      <c r="B1217" s="86"/>
      <c r="C1217" s="86"/>
      <c r="D1217" s="86"/>
      <c r="E1217" s="86"/>
      <c r="F1217" s="86"/>
    </row>
    <row r="1218" spans="1:6" x14ac:dyDescent="0.15">
      <c r="A1218" s="86"/>
      <c r="B1218" s="86"/>
      <c r="C1218" s="86"/>
      <c r="D1218" s="86"/>
      <c r="E1218" s="86"/>
      <c r="F1218" s="86"/>
    </row>
    <row r="1219" spans="1:6" x14ac:dyDescent="0.15">
      <c r="A1219" s="86"/>
      <c r="B1219" s="86"/>
      <c r="C1219" s="86"/>
      <c r="D1219" s="86"/>
      <c r="E1219" s="86"/>
      <c r="F1219" s="86"/>
    </row>
    <row r="1220" spans="1:6" x14ac:dyDescent="0.15">
      <c r="A1220" s="86"/>
      <c r="B1220" s="86"/>
      <c r="C1220" s="86"/>
      <c r="D1220" s="86"/>
      <c r="E1220" s="86"/>
      <c r="F1220" s="86"/>
    </row>
    <row r="1221" spans="1:6" x14ac:dyDescent="0.15">
      <c r="A1221" s="86"/>
      <c r="B1221" s="86"/>
      <c r="C1221" s="86"/>
      <c r="D1221" s="86"/>
      <c r="E1221" s="86"/>
      <c r="F1221" s="86"/>
    </row>
    <row r="1222" spans="1:6" x14ac:dyDescent="0.15">
      <c r="A1222" s="86"/>
      <c r="B1222" s="86"/>
      <c r="C1222" s="86"/>
      <c r="D1222" s="86"/>
      <c r="E1222" s="86"/>
      <c r="F1222" s="86"/>
    </row>
    <row r="1223" spans="1:6" x14ac:dyDescent="0.15">
      <c r="A1223" s="86"/>
      <c r="B1223" s="86"/>
      <c r="C1223" s="86"/>
      <c r="D1223" s="86"/>
      <c r="E1223" s="86"/>
      <c r="F1223" s="86"/>
    </row>
    <row r="1224" spans="1:6" x14ac:dyDescent="0.15">
      <c r="A1224" s="86"/>
      <c r="B1224" s="86"/>
      <c r="C1224" s="86"/>
      <c r="D1224" s="86"/>
      <c r="E1224" s="86"/>
      <c r="F1224" s="86"/>
    </row>
    <row r="1225" spans="1:6" x14ac:dyDescent="0.15">
      <c r="A1225" s="86"/>
      <c r="B1225" s="86"/>
      <c r="C1225" s="86"/>
      <c r="D1225" s="86"/>
      <c r="E1225" s="86"/>
      <c r="F1225" s="86"/>
    </row>
    <row r="1226" spans="1:6" x14ac:dyDescent="0.15">
      <c r="A1226" s="86"/>
      <c r="B1226" s="86"/>
      <c r="C1226" s="86"/>
      <c r="D1226" s="86"/>
      <c r="E1226" s="86"/>
      <c r="F1226" s="86"/>
    </row>
    <row r="1227" spans="1:6" x14ac:dyDescent="0.15">
      <c r="A1227" s="86"/>
      <c r="B1227" s="86"/>
      <c r="C1227" s="86"/>
      <c r="D1227" s="86"/>
      <c r="E1227" s="86"/>
      <c r="F1227" s="86"/>
    </row>
    <row r="1228" spans="1:6" x14ac:dyDescent="0.15">
      <c r="A1228" s="86"/>
      <c r="B1228" s="86"/>
      <c r="C1228" s="86"/>
      <c r="D1228" s="86"/>
      <c r="E1228" s="86"/>
      <c r="F1228" s="86"/>
    </row>
    <row r="1229" spans="1:6" x14ac:dyDescent="0.15">
      <c r="A1229" s="86"/>
      <c r="B1229" s="86"/>
      <c r="C1229" s="86"/>
      <c r="D1229" s="86"/>
      <c r="E1229" s="86"/>
      <c r="F1229" s="86"/>
    </row>
    <row r="1230" spans="1:6" x14ac:dyDescent="0.15">
      <c r="A1230" s="86"/>
      <c r="B1230" s="86"/>
      <c r="C1230" s="86"/>
      <c r="D1230" s="86"/>
      <c r="E1230" s="86"/>
      <c r="F1230" s="86"/>
    </row>
    <row r="1231" spans="1:6" x14ac:dyDescent="0.15">
      <c r="A1231" s="86"/>
      <c r="B1231" s="86"/>
      <c r="C1231" s="86"/>
      <c r="D1231" s="86"/>
      <c r="E1231" s="86"/>
      <c r="F1231" s="86"/>
    </row>
    <row r="1232" spans="1:6" x14ac:dyDescent="0.15">
      <c r="A1232" s="86"/>
      <c r="B1232" s="86"/>
      <c r="C1232" s="86"/>
      <c r="D1232" s="86"/>
      <c r="E1232" s="86"/>
      <c r="F1232" s="86"/>
    </row>
    <row r="1233" spans="1:6" x14ac:dyDescent="0.15">
      <c r="A1233" s="86"/>
      <c r="B1233" s="86"/>
      <c r="C1233" s="86"/>
      <c r="D1233" s="86"/>
      <c r="E1233" s="86"/>
      <c r="F1233" s="86"/>
    </row>
    <row r="1234" spans="1:6" x14ac:dyDescent="0.15">
      <c r="A1234" s="86"/>
      <c r="B1234" s="86"/>
      <c r="C1234" s="86"/>
      <c r="D1234" s="86"/>
      <c r="E1234" s="86"/>
      <c r="F1234" s="86"/>
    </row>
    <row r="1235" spans="1:6" x14ac:dyDescent="0.15">
      <c r="A1235" s="86"/>
      <c r="B1235" s="86"/>
      <c r="C1235" s="86"/>
      <c r="D1235" s="86"/>
      <c r="E1235" s="86"/>
      <c r="F1235" s="86"/>
    </row>
    <row r="1236" spans="1:6" x14ac:dyDescent="0.15">
      <c r="A1236" s="86"/>
      <c r="B1236" s="86"/>
      <c r="C1236" s="86"/>
      <c r="D1236" s="86"/>
      <c r="E1236" s="86"/>
      <c r="F1236" s="86"/>
    </row>
    <row r="1237" spans="1:6" x14ac:dyDescent="0.15">
      <c r="A1237" s="86"/>
      <c r="B1237" s="86"/>
      <c r="C1237" s="86"/>
      <c r="D1237" s="86"/>
      <c r="E1237" s="86"/>
      <c r="F1237" s="86"/>
    </row>
    <row r="1238" spans="1:6" x14ac:dyDescent="0.15">
      <c r="A1238" s="86"/>
      <c r="B1238" s="86"/>
      <c r="C1238" s="86"/>
      <c r="D1238" s="86"/>
      <c r="E1238" s="86"/>
      <c r="F1238" s="86"/>
    </row>
    <row r="1239" spans="1:6" x14ac:dyDescent="0.15">
      <c r="A1239" s="86"/>
      <c r="B1239" s="86"/>
      <c r="C1239" s="86"/>
      <c r="D1239" s="86"/>
      <c r="E1239" s="86"/>
      <c r="F1239" s="86"/>
    </row>
    <row r="1240" spans="1:6" x14ac:dyDescent="0.15">
      <c r="A1240" s="86"/>
      <c r="B1240" s="86"/>
      <c r="C1240" s="86"/>
      <c r="D1240" s="86"/>
      <c r="E1240" s="86"/>
      <c r="F1240" s="86"/>
    </row>
    <row r="1241" spans="1:6" x14ac:dyDescent="0.15">
      <c r="A1241" s="86"/>
      <c r="B1241" s="86"/>
      <c r="C1241" s="86"/>
      <c r="D1241" s="86"/>
      <c r="E1241" s="86"/>
      <c r="F1241" s="86"/>
    </row>
    <row r="1242" spans="1:6" x14ac:dyDescent="0.15">
      <c r="A1242" s="86"/>
      <c r="B1242" s="86"/>
      <c r="C1242" s="86"/>
      <c r="D1242" s="86"/>
      <c r="E1242" s="86"/>
      <c r="F1242" s="86"/>
    </row>
    <row r="1243" spans="1:6" x14ac:dyDescent="0.15">
      <c r="A1243" s="86"/>
      <c r="B1243" s="86"/>
      <c r="C1243" s="86"/>
      <c r="D1243" s="86"/>
      <c r="E1243" s="86"/>
      <c r="F1243" s="86"/>
    </row>
    <row r="1244" spans="1:6" x14ac:dyDescent="0.15">
      <c r="A1244" s="86"/>
      <c r="B1244" s="86"/>
      <c r="C1244" s="86"/>
      <c r="D1244" s="86"/>
      <c r="E1244" s="86"/>
      <c r="F1244" s="86"/>
    </row>
    <row r="1245" spans="1:6" x14ac:dyDescent="0.15">
      <c r="A1245" s="86"/>
      <c r="B1245" s="86"/>
      <c r="C1245" s="86"/>
      <c r="D1245" s="86"/>
      <c r="E1245" s="86"/>
      <c r="F1245" s="86"/>
    </row>
    <row r="1246" spans="1:6" x14ac:dyDescent="0.15">
      <c r="A1246" s="86"/>
      <c r="B1246" s="86"/>
      <c r="C1246" s="86"/>
      <c r="D1246" s="86"/>
      <c r="E1246" s="86"/>
      <c r="F1246" s="86"/>
    </row>
    <row r="1247" spans="1:6" x14ac:dyDescent="0.15">
      <c r="A1247" s="86"/>
      <c r="B1247" s="86"/>
      <c r="C1247" s="86"/>
      <c r="D1247" s="86"/>
      <c r="E1247" s="86"/>
      <c r="F1247" s="86"/>
    </row>
    <row r="1248" spans="1:6" x14ac:dyDescent="0.15">
      <c r="A1248" s="86"/>
      <c r="B1248" s="86"/>
      <c r="C1248" s="86"/>
      <c r="D1248" s="86"/>
      <c r="E1248" s="86"/>
      <c r="F1248" s="86"/>
    </row>
    <row r="1249" spans="1:6" x14ac:dyDescent="0.15">
      <c r="A1249" s="86"/>
      <c r="B1249" s="86"/>
      <c r="C1249" s="86"/>
      <c r="D1249" s="86"/>
      <c r="E1249" s="86"/>
      <c r="F1249" s="86"/>
    </row>
    <row r="1250" spans="1:6" x14ac:dyDescent="0.15">
      <c r="A1250" s="86"/>
      <c r="B1250" s="86"/>
      <c r="C1250" s="86"/>
      <c r="D1250" s="86"/>
      <c r="E1250" s="86"/>
      <c r="F1250" s="86"/>
    </row>
    <row r="1251" spans="1:6" x14ac:dyDescent="0.15">
      <c r="A1251" s="86"/>
      <c r="B1251" s="86"/>
      <c r="C1251" s="86"/>
      <c r="D1251" s="86"/>
      <c r="E1251" s="86"/>
      <c r="F1251" s="86"/>
    </row>
    <row r="1252" spans="1:6" x14ac:dyDescent="0.15">
      <c r="A1252" s="86"/>
      <c r="B1252" s="86"/>
      <c r="C1252" s="86"/>
      <c r="D1252" s="86"/>
      <c r="E1252" s="86"/>
      <c r="F1252" s="86"/>
    </row>
    <row r="1253" spans="1:6" x14ac:dyDescent="0.15">
      <c r="A1253" s="86"/>
      <c r="B1253" s="86"/>
      <c r="C1253" s="86"/>
      <c r="D1253" s="86"/>
      <c r="E1253" s="86"/>
      <c r="F1253" s="86"/>
    </row>
    <row r="1254" spans="1:6" x14ac:dyDescent="0.15">
      <c r="A1254" s="86"/>
      <c r="B1254" s="86"/>
      <c r="C1254" s="86"/>
      <c r="D1254" s="86"/>
      <c r="E1254" s="86"/>
      <c r="F1254" s="86"/>
    </row>
    <row r="1255" spans="1:6" x14ac:dyDescent="0.15">
      <c r="A1255" s="86"/>
      <c r="B1255" s="86"/>
      <c r="C1255" s="86"/>
      <c r="D1255" s="86"/>
      <c r="E1255" s="86"/>
      <c r="F1255" s="86"/>
    </row>
    <row r="1256" spans="1:6" x14ac:dyDescent="0.15">
      <c r="A1256" s="86"/>
      <c r="B1256" s="86"/>
      <c r="C1256" s="86"/>
      <c r="D1256" s="86"/>
      <c r="E1256" s="86"/>
      <c r="F1256" s="86"/>
    </row>
    <row r="1257" spans="1:6" x14ac:dyDescent="0.15">
      <c r="A1257" s="86"/>
      <c r="B1257" s="86"/>
      <c r="C1257" s="86"/>
      <c r="D1257" s="86"/>
      <c r="E1257" s="86"/>
      <c r="F1257" s="86"/>
    </row>
    <row r="1258" spans="1:6" x14ac:dyDescent="0.15">
      <c r="A1258" s="86"/>
      <c r="B1258" s="86"/>
      <c r="C1258" s="86"/>
      <c r="D1258" s="86"/>
      <c r="E1258" s="86"/>
      <c r="F1258" s="86"/>
    </row>
    <row r="1259" spans="1:6" x14ac:dyDescent="0.15">
      <c r="A1259" s="86"/>
      <c r="B1259" s="86"/>
      <c r="C1259" s="86"/>
      <c r="D1259" s="86"/>
      <c r="E1259" s="86"/>
      <c r="F1259" s="86"/>
    </row>
    <row r="1260" spans="1:6" x14ac:dyDescent="0.15">
      <c r="A1260" s="86"/>
      <c r="B1260" s="86"/>
      <c r="C1260" s="86"/>
      <c r="D1260" s="86"/>
      <c r="E1260" s="86"/>
      <c r="F1260" s="86"/>
    </row>
    <row r="1261" spans="1:6" x14ac:dyDescent="0.15">
      <c r="A1261" s="86"/>
      <c r="B1261" s="86"/>
      <c r="C1261" s="86"/>
      <c r="D1261" s="86"/>
      <c r="E1261" s="86"/>
      <c r="F1261" s="86"/>
    </row>
    <row r="1262" spans="1:6" x14ac:dyDescent="0.15">
      <c r="A1262" s="86"/>
      <c r="B1262" s="86"/>
      <c r="C1262" s="86"/>
      <c r="D1262" s="86"/>
      <c r="E1262" s="86"/>
      <c r="F1262" s="86"/>
    </row>
    <row r="1263" spans="1:6" x14ac:dyDescent="0.15">
      <c r="A1263" s="86"/>
      <c r="B1263" s="86"/>
      <c r="C1263" s="86"/>
      <c r="D1263" s="86"/>
      <c r="E1263" s="86"/>
      <c r="F1263" s="86"/>
    </row>
    <row r="1264" spans="1:6" x14ac:dyDescent="0.15">
      <c r="A1264" s="86"/>
      <c r="B1264" s="86"/>
      <c r="C1264" s="86"/>
      <c r="D1264" s="86"/>
      <c r="E1264" s="86"/>
      <c r="F1264" s="86"/>
    </row>
    <row r="1265" spans="1:6" x14ac:dyDescent="0.15">
      <c r="A1265" s="86"/>
      <c r="B1265" s="86"/>
      <c r="C1265" s="86"/>
      <c r="D1265" s="86"/>
      <c r="E1265" s="86"/>
      <c r="F1265" s="86"/>
    </row>
    <row r="1266" spans="1:6" x14ac:dyDescent="0.15">
      <c r="A1266" s="86"/>
      <c r="B1266" s="86"/>
      <c r="C1266" s="86"/>
      <c r="D1266" s="86"/>
      <c r="E1266" s="86"/>
      <c r="F1266" s="86"/>
    </row>
    <row r="1267" spans="1:6" x14ac:dyDescent="0.15">
      <c r="A1267" s="86"/>
      <c r="B1267" s="86"/>
      <c r="C1267" s="86"/>
      <c r="D1267" s="86"/>
      <c r="E1267" s="86"/>
      <c r="F1267" s="86"/>
    </row>
    <row r="1268" spans="1:6" x14ac:dyDescent="0.15">
      <c r="A1268" s="86"/>
      <c r="B1268" s="86"/>
      <c r="C1268" s="86"/>
      <c r="D1268" s="86"/>
      <c r="E1268" s="86"/>
      <c r="F1268" s="86"/>
    </row>
    <row r="1269" spans="1:6" x14ac:dyDescent="0.15">
      <c r="A1269" s="86"/>
      <c r="B1269" s="86"/>
      <c r="C1269" s="86"/>
      <c r="D1269" s="86"/>
      <c r="E1269" s="86"/>
      <c r="F1269" s="86"/>
    </row>
    <row r="1270" spans="1:6" x14ac:dyDescent="0.15">
      <c r="A1270" s="86"/>
      <c r="B1270" s="86"/>
      <c r="C1270" s="86"/>
      <c r="D1270" s="86"/>
      <c r="E1270" s="86"/>
      <c r="F1270" s="86"/>
    </row>
    <row r="1271" spans="1:6" x14ac:dyDescent="0.15">
      <c r="A1271" s="86"/>
      <c r="B1271" s="86"/>
      <c r="C1271" s="86"/>
      <c r="D1271" s="86"/>
      <c r="E1271" s="86"/>
      <c r="F1271" s="86"/>
    </row>
    <row r="1272" spans="1:6" x14ac:dyDescent="0.15">
      <c r="A1272" s="86"/>
      <c r="B1272" s="86"/>
      <c r="C1272" s="86"/>
      <c r="D1272" s="86"/>
      <c r="E1272" s="86"/>
      <c r="F1272" s="86"/>
    </row>
    <row r="1273" spans="1:6" x14ac:dyDescent="0.15">
      <c r="A1273" s="86"/>
      <c r="B1273" s="86"/>
      <c r="C1273" s="86"/>
      <c r="D1273" s="86"/>
      <c r="E1273" s="86"/>
      <c r="F1273" s="86"/>
    </row>
    <row r="1274" spans="1:6" x14ac:dyDescent="0.15">
      <c r="A1274" s="86"/>
      <c r="B1274" s="86"/>
      <c r="C1274" s="86"/>
      <c r="D1274" s="86"/>
      <c r="E1274" s="86"/>
      <c r="F1274" s="86"/>
    </row>
    <row r="1275" spans="1:6" x14ac:dyDescent="0.15">
      <c r="A1275" s="86"/>
      <c r="B1275" s="86"/>
      <c r="C1275" s="86"/>
      <c r="D1275" s="86"/>
      <c r="E1275" s="86"/>
      <c r="F1275" s="86"/>
    </row>
    <row r="1276" spans="1:6" x14ac:dyDescent="0.15">
      <c r="A1276" s="86"/>
      <c r="B1276" s="86"/>
      <c r="C1276" s="86"/>
      <c r="D1276" s="86"/>
      <c r="E1276" s="86"/>
      <c r="F1276" s="86"/>
    </row>
    <row r="1277" spans="1:6" x14ac:dyDescent="0.15">
      <c r="A1277" s="86"/>
      <c r="B1277" s="86"/>
      <c r="C1277" s="86"/>
      <c r="D1277" s="86"/>
      <c r="E1277" s="86"/>
      <c r="F1277" s="86"/>
    </row>
    <row r="1278" spans="1:6" x14ac:dyDescent="0.15">
      <c r="A1278" s="86"/>
      <c r="B1278" s="86"/>
      <c r="C1278" s="86"/>
      <c r="D1278" s="86"/>
      <c r="E1278" s="86"/>
      <c r="F1278" s="86"/>
    </row>
    <row r="1279" spans="1:6" x14ac:dyDescent="0.15">
      <c r="A1279" s="86"/>
      <c r="B1279" s="86"/>
      <c r="C1279" s="86"/>
      <c r="D1279" s="86"/>
      <c r="E1279" s="86"/>
      <c r="F1279" s="86"/>
    </row>
    <row r="1280" spans="1:6" x14ac:dyDescent="0.15">
      <c r="A1280" s="86"/>
      <c r="B1280" s="86"/>
      <c r="C1280" s="86"/>
      <c r="D1280" s="86"/>
      <c r="E1280" s="86"/>
      <c r="F1280" s="86"/>
    </row>
    <row r="1281" spans="1:6" x14ac:dyDescent="0.15">
      <c r="A1281" s="86"/>
      <c r="B1281" s="86"/>
      <c r="C1281" s="86"/>
      <c r="D1281" s="86"/>
      <c r="E1281" s="86"/>
      <c r="F1281" s="86"/>
    </row>
    <row r="1282" spans="1:6" x14ac:dyDescent="0.15">
      <c r="A1282" s="86"/>
      <c r="B1282" s="86"/>
      <c r="C1282" s="86"/>
      <c r="D1282" s="86"/>
      <c r="E1282" s="86"/>
      <c r="F1282" s="86"/>
    </row>
    <row r="1283" spans="1:6" x14ac:dyDescent="0.15">
      <c r="A1283" s="86"/>
      <c r="B1283" s="86"/>
      <c r="C1283" s="86"/>
      <c r="D1283" s="86"/>
      <c r="E1283" s="86"/>
      <c r="F1283" s="86"/>
    </row>
    <row r="1284" spans="1:6" x14ac:dyDescent="0.15">
      <c r="A1284" s="86"/>
      <c r="B1284" s="86"/>
      <c r="C1284" s="86"/>
      <c r="D1284" s="86"/>
      <c r="E1284" s="86"/>
      <c r="F1284" s="86"/>
    </row>
    <row r="1285" spans="1:6" x14ac:dyDescent="0.15">
      <c r="A1285" s="86"/>
      <c r="B1285" s="86"/>
      <c r="C1285" s="86"/>
      <c r="D1285" s="86"/>
      <c r="E1285" s="86"/>
      <c r="F1285" s="86"/>
    </row>
    <row r="1286" spans="1:6" x14ac:dyDescent="0.15">
      <c r="A1286" s="86"/>
      <c r="B1286" s="86"/>
      <c r="C1286" s="86"/>
      <c r="D1286" s="86"/>
      <c r="E1286" s="86"/>
      <c r="F1286" s="86"/>
    </row>
    <row r="1287" spans="1:6" x14ac:dyDescent="0.15">
      <c r="A1287" s="86"/>
      <c r="B1287" s="86"/>
      <c r="C1287" s="86"/>
      <c r="D1287" s="86"/>
      <c r="E1287" s="86"/>
      <c r="F1287" s="86"/>
    </row>
    <row r="1288" spans="1:6" x14ac:dyDescent="0.15">
      <c r="A1288" s="86"/>
      <c r="B1288" s="86"/>
      <c r="C1288" s="86"/>
      <c r="D1288" s="86"/>
      <c r="E1288" s="86"/>
      <c r="F1288" s="86"/>
    </row>
    <row r="1289" spans="1:6" x14ac:dyDescent="0.15">
      <c r="A1289" s="86"/>
      <c r="B1289" s="86"/>
      <c r="C1289" s="86"/>
      <c r="D1289" s="86"/>
      <c r="E1289" s="86"/>
      <c r="F1289" s="86"/>
    </row>
    <row r="1290" spans="1:6" x14ac:dyDescent="0.15">
      <c r="A1290" s="86"/>
      <c r="B1290" s="86"/>
      <c r="C1290" s="86"/>
      <c r="D1290" s="86"/>
      <c r="E1290" s="86"/>
      <c r="F1290" s="86"/>
    </row>
    <row r="1291" spans="1:6" x14ac:dyDescent="0.15">
      <c r="A1291" s="86"/>
      <c r="B1291" s="86"/>
      <c r="C1291" s="86"/>
      <c r="D1291" s="86"/>
      <c r="E1291" s="86"/>
      <c r="F1291" s="86"/>
    </row>
    <row r="1292" spans="1:6" x14ac:dyDescent="0.15">
      <c r="A1292" s="86"/>
      <c r="B1292" s="86"/>
      <c r="C1292" s="86"/>
      <c r="D1292" s="86"/>
      <c r="E1292" s="86"/>
      <c r="F1292" s="86"/>
    </row>
    <row r="1293" spans="1:6" x14ac:dyDescent="0.15">
      <c r="A1293" s="86"/>
      <c r="B1293" s="86"/>
      <c r="C1293" s="86"/>
      <c r="D1293" s="86"/>
      <c r="E1293" s="86"/>
      <c r="F1293" s="86"/>
    </row>
    <row r="1294" spans="1:6" x14ac:dyDescent="0.15">
      <c r="A1294" s="86"/>
      <c r="B1294" s="86"/>
      <c r="C1294" s="86"/>
      <c r="D1294" s="86"/>
      <c r="E1294" s="86"/>
      <c r="F1294" s="86"/>
    </row>
    <row r="1295" spans="1:6" x14ac:dyDescent="0.15">
      <c r="A1295" s="86"/>
      <c r="B1295" s="86"/>
      <c r="C1295" s="86"/>
      <c r="D1295" s="86"/>
      <c r="E1295" s="86"/>
      <c r="F1295" s="86"/>
    </row>
    <row r="1296" spans="1:6" x14ac:dyDescent="0.15">
      <c r="A1296" s="86"/>
      <c r="B1296" s="86"/>
      <c r="C1296" s="86"/>
      <c r="D1296" s="86"/>
      <c r="E1296" s="86"/>
      <c r="F1296" s="86"/>
    </row>
    <row r="1297" spans="1:6" x14ac:dyDescent="0.15">
      <c r="A1297" s="86"/>
      <c r="B1297" s="86"/>
      <c r="C1297" s="86"/>
      <c r="D1297" s="86"/>
      <c r="E1297" s="86"/>
      <c r="F1297" s="86"/>
    </row>
    <row r="1298" spans="1:6" x14ac:dyDescent="0.15">
      <c r="A1298" s="86"/>
      <c r="B1298" s="86"/>
      <c r="C1298" s="86"/>
      <c r="D1298" s="86"/>
      <c r="E1298" s="86"/>
      <c r="F1298" s="86"/>
    </row>
    <row r="1299" spans="1:6" x14ac:dyDescent="0.15">
      <c r="A1299" s="86"/>
      <c r="B1299" s="86"/>
      <c r="C1299" s="86"/>
      <c r="D1299" s="86"/>
      <c r="E1299" s="86"/>
      <c r="F1299" s="86"/>
    </row>
    <row r="1300" spans="1:6" x14ac:dyDescent="0.15">
      <c r="A1300" s="86"/>
      <c r="B1300" s="86"/>
      <c r="C1300" s="86"/>
      <c r="D1300" s="86"/>
      <c r="E1300" s="86"/>
      <c r="F1300" s="86"/>
    </row>
    <row r="1301" spans="1:6" x14ac:dyDescent="0.15">
      <c r="A1301" s="86"/>
      <c r="B1301" s="86"/>
      <c r="C1301" s="86"/>
      <c r="D1301" s="86"/>
      <c r="E1301" s="86"/>
      <c r="F1301" s="86"/>
    </row>
    <row r="1302" spans="1:6" x14ac:dyDescent="0.15">
      <c r="A1302" s="86"/>
      <c r="B1302" s="86"/>
      <c r="C1302" s="86"/>
      <c r="D1302" s="86"/>
      <c r="E1302" s="86"/>
      <c r="F1302" s="86"/>
    </row>
    <row r="1303" spans="1:6" x14ac:dyDescent="0.15">
      <c r="A1303" s="86"/>
      <c r="B1303" s="86"/>
      <c r="C1303" s="86"/>
      <c r="D1303" s="86"/>
      <c r="E1303" s="86"/>
      <c r="F1303" s="86"/>
    </row>
    <row r="1304" spans="1:6" x14ac:dyDescent="0.15">
      <c r="A1304" s="86"/>
      <c r="B1304" s="86"/>
      <c r="C1304" s="86"/>
      <c r="D1304" s="86"/>
      <c r="E1304" s="86"/>
      <c r="F1304" s="86"/>
    </row>
    <row r="1305" spans="1:6" x14ac:dyDescent="0.15">
      <c r="A1305" s="86"/>
      <c r="B1305" s="86"/>
      <c r="C1305" s="86"/>
      <c r="D1305" s="86"/>
      <c r="E1305" s="86"/>
      <c r="F1305" s="86"/>
    </row>
    <row r="1306" spans="1:6" x14ac:dyDescent="0.15">
      <c r="A1306" s="86"/>
      <c r="B1306" s="86"/>
      <c r="C1306" s="86"/>
      <c r="D1306" s="86"/>
      <c r="E1306" s="86"/>
      <c r="F1306" s="86"/>
    </row>
    <row r="1307" spans="1:6" x14ac:dyDescent="0.15">
      <c r="A1307" s="86"/>
      <c r="B1307" s="86"/>
      <c r="C1307" s="86"/>
      <c r="D1307" s="86"/>
      <c r="E1307" s="86"/>
      <c r="F1307" s="86"/>
    </row>
    <row r="1308" spans="1:6" x14ac:dyDescent="0.15">
      <c r="A1308" s="86"/>
      <c r="B1308" s="86"/>
      <c r="C1308" s="86"/>
      <c r="D1308" s="86"/>
      <c r="E1308" s="86"/>
      <c r="F1308" s="86"/>
    </row>
    <row r="1309" spans="1:6" x14ac:dyDescent="0.15">
      <c r="A1309" s="86"/>
      <c r="B1309" s="86"/>
      <c r="C1309" s="86"/>
      <c r="D1309" s="86"/>
      <c r="E1309" s="86"/>
      <c r="F1309" s="86"/>
    </row>
    <row r="1310" spans="1:6" x14ac:dyDescent="0.15">
      <c r="A1310" s="86"/>
      <c r="B1310" s="86"/>
      <c r="C1310" s="86"/>
      <c r="D1310" s="86"/>
      <c r="E1310" s="86"/>
      <c r="F1310" s="86"/>
    </row>
    <row r="1311" spans="1:6" x14ac:dyDescent="0.15">
      <c r="A1311" s="86"/>
      <c r="B1311" s="86"/>
      <c r="C1311" s="86"/>
      <c r="D1311" s="86"/>
      <c r="E1311" s="86"/>
      <c r="F1311" s="86"/>
    </row>
    <row r="1312" spans="1:6" x14ac:dyDescent="0.15">
      <c r="A1312" s="86"/>
      <c r="B1312" s="86"/>
      <c r="C1312" s="86"/>
      <c r="D1312" s="86"/>
      <c r="E1312" s="86"/>
      <c r="F1312" s="86"/>
    </row>
    <row r="1313" spans="1:6" x14ac:dyDescent="0.15">
      <c r="A1313" s="86"/>
      <c r="B1313" s="86"/>
      <c r="C1313" s="86"/>
      <c r="D1313" s="86"/>
      <c r="E1313" s="86"/>
      <c r="F1313" s="86"/>
    </row>
    <row r="1314" spans="1:6" x14ac:dyDescent="0.15">
      <c r="A1314" s="86"/>
      <c r="B1314" s="86"/>
      <c r="C1314" s="86"/>
      <c r="D1314" s="86"/>
      <c r="E1314" s="86"/>
      <c r="F1314" s="86"/>
    </row>
    <row r="1315" spans="1:6" x14ac:dyDescent="0.15">
      <c r="A1315" s="86"/>
      <c r="B1315" s="86"/>
      <c r="C1315" s="86"/>
      <c r="D1315" s="86"/>
      <c r="E1315" s="86"/>
      <c r="F1315" s="86"/>
    </row>
    <row r="1316" spans="1:6" x14ac:dyDescent="0.15">
      <c r="A1316" s="86"/>
      <c r="B1316" s="86"/>
      <c r="C1316" s="86"/>
      <c r="D1316" s="86"/>
      <c r="E1316" s="86"/>
      <c r="F1316" s="86"/>
    </row>
    <row r="1317" spans="1:6" x14ac:dyDescent="0.15">
      <c r="A1317" s="86"/>
      <c r="B1317" s="86"/>
      <c r="C1317" s="86"/>
      <c r="D1317" s="86"/>
      <c r="E1317" s="86"/>
      <c r="F1317" s="86"/>
    </row>
    <row r="1318" spans="1:6" x14ac:dyDescent="0.15">
      <c r="A1318" s="86"/>
      <c r="B1318" s="86"/>
      <c r="C1318" s="86"/>
      <c r="D1318" s="86"/>
      <c r="E1318" s="86"/>
      <c r="F1318" s="86"/>
    </row>
    <row r="1319" spans="1:6" x14ac:dyDescent="0.15">
      <c r="A1319" s="86"/>
      <c r="B1319" s="86"/>
      <c r="C1319" s="86"/>
      <c r="D1319" s="86"/>
      <c r="E1319" s="86"/>
      <c r="F1319" s="86"/>
    </row>
    <row r="1320" spans="1:6" x14ac:dyDescent="0.15">
      <c r="A1320" s="86"/>
      <c r="B1320" s="86"/>
      <c r="C1320" s="86"/>
      <c r="D1320" s="86"/>
      <c r="E1320" s="86"/>
      <c r="F1320" s="86"/>
    </row>
    <row r="1321" spans="1:6" x14ac:dyDescent="0.15">
      <c r="A1321" s="86"/>
      <c r="B1321" s="86"/>
      <c r="C1321" s="86"/>
      <c r="D1321" s="86"/>
      <c r="E1321" s="86"/>
      <c r="F1321" s="86"/>
    </row>
    <row r="1322" spans="1:6" x14ac:dyDescent="0.15">
      <c r="A1322" s="86"/>
      <c r="B1322" s="86"/>
      <c r="C1322" s="86"/>
      <c r="D1322" s="86"/>
      <c r="E1322" s="86"/>
      <c r="F1322" s="86"/>
    </row>
    <row r="1323" spans="1:6" x14ac:dyDescent="0.15">
      <c r="A1323" s="86"/>
      <c r="B1323" s="86"/>
      <c r="C1323" s="86"/>
      <c r="D1323" s="86"/>
      <c r="E1323" s="86"/>
      <c r="F1323" s="86"/>
    </row>
    <row r="1324" spans="1:6" x14ac:dyDescent="0.15">
      <c r="A1324" s="86"/>
      <c r="B1324" s="86"/>
      <c r="C1324" s="86"/>
      <c r="D1324" s="86"/>
      <c r="E1324" s="86"/>
      <c r="F1324" s="86"/>
    </row>
    <row r="1325" spans="1:6" x14ac:dyDescent="0.15">
      <c r="A1325" s="86"/>
      <c r="B1325" s="86"/>
      <c r="C1325" s="86"/>
      <c r="D1325" s="86"/>
      <c r="E1325" s="86"/>
      <c r="F1325" s="86"/>
    </row>
    <row r="1326" spans="1:6" x14ac:dyDescent="0.15">
      <c r="A1326" s="86"/>
      <c r="B1326" s="86"/>
      <c r="C1326" s="86"/>
      <c r="D1326" s="86"/>
      <c r="E1326" s="86"/>
      <c r="F1326" s="86"/>
    </row>
    <row r="1327" spans="1:6" x14ac:dyDescent="0.15">
      <c r="A1327" s="86"/>
      <c r="B1327" s="86"/>
      <c r="C1327" s="86"/>
      <c r="D1327" s="86"/>
      <c r="E1327" s="86"/>
      <c r="F1327" s="86"/>
    </row>
    <row r="1328" spans="1:6" x14ac:dyDescent="0.15">
      <c r="A1328" s="86"/>
      <c r="B1328" s="86"/>
      <c r="C1328" s="86"/>
      <c r="D1328" s="86"/>
      <c r="E1328" s="86"/>
      <c r="F1328" s="86"/>
    </row>
    <row r="1329" spans="1:6" x14ac:dyDescent="0.15">
      <c r="A1329" s="86"/>
      <c r="B1329" s="86"/>
      <c r="C1329" s="86"/>
      <c r="D1329" s="86"/>
      <c r="E1329" s="86"/>
      <c r="F1329" s="86"/>
    </row>
    <row r="1330" spans="1:6" x14ac:dyDescent="0.15">
      <c r="A1330" s="86"/>
      <c r="B1330" s="86"/>
      <c r="C1330" s="86"/>
      <c r="D1330" s="86"/>
      <c r="E1330" s="86"/>
      <c r="F1330" s="86"/>
    </row>
    <row r="1331" spans="1:6" x14ac:dyDescent="0.15">
      <c r="A1331" s="86"/>
      <c r="B1331" s="86"/>
      <c r="C1331" s="86"/>
      <c r="D1331" s="86"/>
      <c r="E1331" s="86"/>
      <c r="F1331" s="86"/>
    </row>
    <row r="1332" spans="1:6" x14ac:dyDescent="0.15">
      <c r="A1332" s="86"/>
      <c r="B1332" s="86"/>
      <c r="C1332" s="86"/>
      <c r="D1332" s="86"/>
      <c r="E1332" s="86"/>
      <c r="F1332" s="86"/>
    </row>
    <row r="1333" spans="1:6" x14ac:dyDescent="0.15">
      <c r="A1333" s="86"/>
      <c r="B1333" s="86"/>
      <c r="C1333" s="86"/>
      <c r="D1333" s="86"/>
      <c r="E1333" s="86"/>
      <c r="F1333" s="86"/>
    </row>
    <row r="1334" spans="1:6" x14ac:dyDescent="0.15">
      <c r="A1334" s="86"/>
      <c r="B1334" s="86"/>
      <c r="C1334" s="86"/>
      <c r="D1334" s="86"/>
      <c r="E1334" s="86"/>
      <c r="F1334" s="86"/>
    </row>
    <row r="1335" spans="1:6" x14ac:dyDescent="0.15">
      <c r="A1335" s="86"/>
      <c r="B1335" s="86"/>
      <c r="C1335" s="86"/>
      <c r="D1335" s="86"/>
      <c r="E1335" s="86"/>
      <c r="F1335" s="86"/>
    </row>
    <row r="1336" spans="1:6" x14ac:dyDescent="0.15">
      <c r="A1336" s="86"/>
      <c r="B1336" s="86"/>
      <c r="C1336" s="86"/>
      <c r="D1336" s="86"/>
      <c r="E1336" s="86"/>
      <c r="F1336" s="86"/>
    </row>
    <row r="1337" spans="1:6" x14ac:dyDescent="0.15">
      <c r="A1337" s="86"/>
      <c r="B1337" s="86"/>
      <c r="C1337" s="86"/>
      <c r="D1337" s="86"/>
      <c r="E1337" s="86"/>
      <c r="F1337" s="86"/>
    </row>
    <row r="1338" spans="1:6" x14ac:dyDescent="0.15">
      <c r="A1338" s="86"/>
      <c r="B1338" s="86"/>
      <c r="C1338" s="86"/>
      <c r="D1338" s="86"/>
      <c r="E1338" s="86"/>
      <c r="F1338" s="86"/>
    </row>
    <row r="1339" spans="1:6" x14ac:dyDescent="0.15">
      <c r="A1339" s="86"/>
      <c r="B1339" s="86"/>
      <c r="C1339" s="86"/>
      <c r="D1339" s="86"/>
      <c r="E1339" s="86"/>
      <c r="F1339" s="86"/>
    </row>
    <row r="1340" spans="1:6" x14ac:dyDescent="0.15">
      <c r="A1340" s="86"/>
      <c r="B1340" s="86"/>
      <c r="C1340" s="86"/>
      <c r="D1340" s="86"/>
      <c r="E1340" s="86"/>
      <c r="F1340" s="86"/>
    </row>
    <row r="1341" spans="1:6" x14ac:dyDescent="0.15">
      <c r="A1341" s="86"/>
      <c r="B1341" s="86"/>
      <c r="C1341" s="86"/>
      <c r="D1341" s="86"/>
      <c r="E1341" s="86"/>
      <c r="F1341" s="86"/>
    </row>
    <row r="1342" spans="1:6" x14ac:dyDescent="0.15">
      <c r="A1342" s="86"/>
      <c r="B1342" s="86"/>
      <c r="C1342" s="86"/>
      <c r="D1342" s="86"/>
      <c r="E1342" s="86"/>
      <c r="F1342" s="86"/>
    </row>
    <row r="1343" spans="1:6" x14ac:dyDescent="0.15">
      <c r="A1343" s="86"/>
      <c r="B1343" s="86"/>
      <c r="C1343" s="86"/>
      <c r="D1343" s="86"/>
      <c r="E1343" s="86"/>
      <c r="F1343" s="86"/>
    </row>
    <row r="1344" spans="1:6" x14ac:dyDescent="0.15">
      <c r="A1344" s="86"/>
      <c r="B1344" s="86"/>
      <c r="C1344" s="86"/>
      <c r="D1344" s="86"/>
      <c r="E1344" s="86"/>
      <c r="F1344" s="86"/>
    </row>
    <row r="1345" spans="1:6" x14ac:dyDescent="0.15">
      <c r="A1345" s="86"/>
      <c r="B1345" s="86"/>
      <c r="C1345" s="86"/>
      <c r="D1345" s="86"/>
      <c r="E1345" s="86"/>
      <c r="F1345" s="86"/>
    </row>
    <row r="1346" spans="1:6" x14ac:dyDescent="0.15">
      <c r="A1346" s="86"/>
      <c r="B1346" s="86"/>
      <c r="C1346" s="86"/>
      <c r="D1346" s="86"/>
      <c r="E1346" s="86"/>
      <c r="F1346" s="86"/>
    </row>
    <row r="1347" spans="1:6" x14ac:dyDescent="0.15">
      <c r="A1347" s="86"/>
      <c r="B1347" s="86"/>
      <c r="C1347" s="86"/>
      <c r="D1347" s="86"/>
      <c r="E1347" s="86"/>
      <c r="F1347" s="86"/>
    </row>
    <row r="1348" spans="1:6" x14ac:dyDescent="0.15">
      <c r="A1348" s="86"/>
      <c r="B1348" s="86"/>
      <c r="C1348" s="86"/>
      <c r="D1348" s="86"/>
      <c r="E1348" s="86"/>
      <c r="F1348" s="86"/>
    </row>
    <row r="1349" spans="1:6" x14ac:dyDescent="0.15">
      <c r="A1349" s="86"/>
      <c r="B1349" s="86"/>
      <c r="C1349" s="86"/>
      <c r="D1349" s="86"/>
      <c r="E1349" s="86"/>
      <c r="F1349" s="86"/>
    </row>
    <row r="1350" spans="1:6" x14ac:dyDescent="0.15">
      <c r="A1350" s="86"/>
      <c r="B1350" s="86"/>
      <c r="C1350" s="86"/>
      <c r="D1350" s="86"/>
      <c r="E1350" s="86"/>
      <c r="F1350" s="86"/>
    </row>
    <row r="1351" spans="1:6" x14ac:dyDescent="0.15">
      <c r="A1351" s="86"/>
      <c r="B1351" s="86"/>
      <c r="C1351" s="86"/>
      <c r="D1351" s="86"/>
      <c r="E1351" s="86"/>
      <c r="F1351" s="86"/>
    </row>
    <row r="1352" spans="1:6" x14ac:dyDescent="0.15">
      <c r="A1352" s="86"/>
      <c r="B1352" s="86"/>
      <c r="C1352" s="86"/>
      <c r="D1352" s="86"/>
      <c r="E1352" s="86"/>
      <c r="F1352" s="86"/>
    </row>
    <row r="1353" spans="1:6" x14ac:dyDescent="0.15">
      <c r="A1353" s="86"/>
      <c r="B1353" s="86"/>
      <c r="C1353" s="86"/>
      <c r="D1353" s="86"/>
      <c r="E1353" s="86"/>
      <c r="F1353" s="86"/>
    </row>
    <row r="1354" spans="1:6" x14ac:dyDescent="0.15">
      <c r="A1354" s="86"/>
      <c r="B1354" s="86"/>
      <c r="C1354" s="86"/>
      <c r="D1354" s="86"/>
      <c r="E1354" s="86"/>
      <c r="F1354" s="86"/>
    </row>
    <row r="1355" spans="1:6" x14ac:dyDescent="0.15">
      <c r="A1355" s="86"/>
      <c r="B1355" s="86"/>
      <c r="C1355" s="86"/>
      <c r="D1355" s="86"/>
      <c r="E1355" s="86"/>
      <c r="F1355" s="86"/>
    </row>
    <row r="1356" spans="1:6" x14ac:dyDescent="0.15">
      <c r="A1356" s="86"/>
      <c r="B1356" s="86"/>
      <c r="C1356" s="86"/>
      <c r="D1356" s="86"/>
      <c r="E1356" s="86"/>
      <c r="F1356" s="86"/>
    </row>
    <row r="1357" spans="1:6" x14ac:dyDescent="0.15">
      <c r="A1357" s="86"/>
      <c r="B1357" s="86"/>
      <c r="C1357" s="86"/>
      <c r="D1357" s="86"/>
      <c r="E1357" s="86"/>
      <c r="F1357" s="86"/>
    </row>
    <row r="1358" spans="1:6" x14ac:dyDescent="0.15">
      <c r="A1358" s="86"/>
      <c r="B1358" s="86"/>
      <c r="C1358" s="86"/>
      <c r="D1358" s="86"/>
      <c r="E1358" s="86"/>
      <c r="F1358" s="86"/>
    </row>
    <row r="1359" spans="1:6" x14ac:dyDescent="0.15">
      <c r="A1359" s="86"/>
      <c r="B1359" s="86"/>
      <c r="C1359" s="86"/>
      <c r="D1359" s="86"/>
      <c r="E1359" s="86"/>
      <c r="F1359" s="86"/>
    </row>
    <row r="1360" spans="1:6" x14ac:dyDescent="0.15">
      <c r="A1360" s="86"/>
      <c r="B1360" s="86"/>
      <c r="C1360" s="86"/>
      <c r="D1360" s="86"/>
      <c r="E1360" s="86"/>
      <c r="F1360" s="86"/>
    </row>
    <row r="1361" spans="1:6" x14ac:dyDescent="0.15">
      <c r="A1361" s="86"/>
      <c r="B1361" s="86"/>
      <c r="C1361" s="86"/>
      <c r="D1361" s="86"/>
      <c r="E1361" s="86"/>
      <c r="F1361" s="86"/>
    </row>
    <row r="1362" spans="1:6" x14ac:dyDescent="0.15">
      <c r="A1362" s="86"/>
      <c r="B1362" s="86"/>
      <c r="C1362" s="86"/>
      <c r="D1362" s="86"/>
      <c r="E1362" s="86"/>
      <c r="F1362" s="86"/>
    </row>
    <row r="1363" spans="1:6" x14ac:dyDescent="0.15">
      <c r="A1363" s="86"/>
      <c r="B1363" s="86"/>
      <c r="C1363" s="86"/>
      <c r="D1363" s="86"/>
      <c r="E1363" s="86"/>
      <c r="F1363" s="86"/>
    </row>
    <row r="1364" spans="1:6" x14ac:dyDescent="0.15">
      <c r="A1364" s="86"/>
      <c r="B1364" s="86"/>
      <c r="C1364" s="86"/>
      <c r="D1364" s="86"/>
      <c r="E1364" s="86"/>
      <c r="F1364" s="86"/>
    </row>
    <row r="1365" spans="1:6" x14ac:dyDescent="0.15">
      <c r="A1365" s="86"/>
      <c r="B1365" s="86"/>
      <c r="C1365" s="86"/>
      <c r="D1365" s="86"/>
      <c r="E1365" s="86"/>
      <c r="F1365" s="86"/>
    </row>
    <row r="1366" spans="1:6" x14ac:dyDescent="0.15">
      <c r="A1366" s="86"/>
      <c r="B1366" s="86"/>
      <c r="C1366" s="86"/>
      <c r="D1366" s="86"/>
      <c r="E1366" s="86"/>
      <c r="F1366" s="86"/>
    </row>
    <row r="1367" spans="1:6" x14ac:dyDescent="0.15">
      <c r="A1367" s="86"/>
      <c r="B1367" s="86"/>
      <c r="C1367" s="86"/>
      <c r="D1367" s="86"/>
      <c r="E1367" s="86"/>
      <c r="F1367" s="86"/>
    </row>
    <row r="1368" spans="1:6" x14ac:dyDescent="0.15">
      <c r="A1368" s="86"/>
      <c r="B1368" s="86"/>
      <c r="C1368" s="86"/>
      <c r="D1368" s="86"/>
      <c r="E1368" s="86"/>
      <c r="F1368" s="86"/>
    </row>
    <row r="1369" spans="1:6" x14ac:dyDescent="0.15">
      <c r="A1369" s="86"/>
      <c r="B1369" s="86"/>
      <c r="C1369" s="86"/>
      <c r="D1369" s="86"/>
      <c r="E1369" s="86"/>
      <c r="F1369" s="86"/>
    </row>
    <row r="1370" spans="1:6" x14ac:dyDescent="0.15">
      <c r="A1370" s="86"/>
      <c r="B1370" s="86"/>
      <c r="C1370" s="86"/>
      <c r="D1370" s="86"/>
      <c r="E1370" s="86"/>
      <c r="F1370" s="86"/>
    </row>
    <row r="1371" spans="1:6" x14ac:dyDescent="0.15">
      <c r="A1371" s="86"/>
      <c r="B1371" s="86"/>
      <c r="C1371" s="86"/>
      <c r="D1371" s="86"/>
      <c r="E1371" s="86"/>
      <c r="F1371" s="86"/>
    </row>
    <row r="1372" spans="1:6" x14ac:dyDescent="0.15">
      <c r="A1372" s="86"/>
      <c r="B1372" s="86"/>
      <c r="C1372" s="86"/>
      <c r="D1372" s="86"/>
      <c r="E1372" s="86"/>
      <c r="F1372" s="86"/>
    </row>
    <row r="1373" spans="1:6" x14ac:dyDescent="0.15">
      <c r="A1373" s="86"/>
      <c r="B1373" s="86"/>
      <c r="C1373" s="86"/>
      <c r="D1373" s="86"/>
      <c r="E1373" s="86"/>
      <c r="F1373" s="86"/>
    </row>
    <row r="1374" spans="1:6" x14ac:dyDescent="0.15">
      <c r="A1374" s="86"/>
      <c r="B1374" s="86"/>
      <c r="C1374" s="86"/>
      <c r="D1374" s="86"/>
      <c r="E1374" s="86"/>
      <c r="F1374" s="86"/>
    </row>
    <row r="1375" spans="1:6" x14ac:dyDescent="0.15">
      <c r="A1375" s="86"/>
      <c r="B1375" s="86"/>
      <c r="C1375" s="86"/>
      <c r="D1375" s="86"/>
      <c r="E1375" s="86"/>
      <c r="F1375" s="86"/>
    </row>
    <row r="1376" spans="1:6" x14ac:dyDescent="0.15">
      <c r="A1376" s="86"/>
      <c r="B1376" s="86"/>
      <c r="C1376" s="86"/>
      <c r="D1376" s="86"/>
      <c r="E1376" s="86"/>
      <c r="F1376" s="86"/>
    </row>
    <row r="1377" spans="1:6" x14ac:dyDescent="0.15">
      <c r="A1377" s="86"/>
      <c r="B1377" s="86"/>
      <c r="C1377" s="86"/>
      <c r="D1377" s="86"/>
      <c r="E1377" s="86"/>
      <c r="F1377" s="86"/>
    </row>
    <row r="1378" spans="1:6" x14ac:dyDescent="0.15">
      <c r="A1378" s="86"/>
      <c r="B1378" s="86"/>
      <c r="C1378" s="86"/>
      <c r="D1378" s="86"/>
      <c r="E1378" s="86"/>
      <c r="F1378" s="86"/>
    </row>
    <row r="1379" spans="1:6" x14ac:dyDescent="0.15">
      <c r="A1379" s="86"/>
      <c r="B1379" s="86"/>
      <c r="C1379" s="86"/>
      <c r="D1379" s="86"/>
      <c r="E1379" s="86"/>
      <c r="F1379" s="86"/>
    </row>
    <row r="1380" spans="1:6" x14ac:dyDescent="0.15">
      <c r="A1380" s="86"/>
      <c r="B1380" s="86"/>
      <c r="C1380" s="86"/>
      <c r="D1380" s="86"/>
      <c r="E1380" s="86"/>
      <c r="F1380" s="86"/>
    </row>
    <row r="1381" spans="1:6" x14ac:dyDescent="0.15">
      <c r="A1381" s="86"/>
      <c r="B1381" s="86"/>
      <c r="C1381" s="86"/>
      <c r="D1381" s="86"/>
      <c r="E1381" s="86"/>
      <c r="F1381" s="86"/>
    </row>
    <row r="1382" spans="1:6" x14ac:dyDescent="0.15">
      <c r="A1382" s="86"/>
      <c r="B1382" s="86"/>
      <c r="C1382" s="86"/>
      <c r="D1382" s="86"/>
      <c r="E1382" s="86"/>
      <c r="F1382" s="86"/>
    </row>
    <row r="1383" spans="1:6" x14ac:dyDescent="0.15">
      <c r="A1383" s="86"/>
      <c r="B1383" s="86"/>
      <c r="C1383" s="86"/>
      <c r="D1383" s="86"/>
      <c r="E1383" s="86"/>
      <c r="F1383" s="86"/>
    </row>
    <row r="1384" spans="1:6" x14ac:dyDescent="0.15">
      <c r="A1384" s="86"/>
      <c r="B1384" s="86"/>
      <c r="C1384" s="86"/>
      <c r="D1384" s="86"/>
      <c r="E1384" s="86"/>
      <c r="F1384" s="86"/>
    </row>
    <row r="1385" spans="1:6" x14ac:dyDescent="0.15">
      <c r="A1385" s="86"/>
      <c r="B1385" s="86"/>
      <c r="C1385" s="86"/>
      <c r="D1385" s="86"/>
      <c r="E1385" s="86"/>
      <c r="F1385" s="86"/>
    </row>
    <row r="1386" spans="1:6" x14ac:dyDescent="0.15">
      <c r="A1386" s="86"/>
      <c r="B1386" s="86"/>
      <c r="C1386" s="86"/>
      <c r="D1386" s="86"/>
      <c r="E1386" s="86"/>
      <c r="F1386" s="86"/>
    </row>
    <row r="1387" spans="1:6" x14ac:dyDescent="0.15">
      <c r="A1387" s="86"/>
      <c r="B1387" s="86"/>
      <c r="C1387" s="86"/>
      <c r="D1387" s="86"/>
      <c r="E1387" s="86"/>
      <c r="F1387" s="86"/>
    </row>
    <row r="1388" spans="1:6" x14ac:dyDescent="0.15">
      <c r="A1388" s="86"/>
      <c r="B1388" s="86"/>
      <c r="C1388" s="86"/>
      <c r="D1388" s="86"/>
      <c r="E1388" s="86"/>
      <c r="F1388" s="86"/>
    </row>
    <row r="1389" spans="1:6" x14ac:dyDescent="0.15">
      <c r="A1389" s="86"/>
      <c r="B1389" s="86"/>
      <c r="C1389" s="86"/>
      <c r="D1389" s="86"/>
      <c r="E1389" s="86"/>
      <c r="F1389" s="86"/>
    </row>
    <row r="1390" spans="1:6" x14ac:dyDescent="0.15">
      <c r="A1390" s="86"/>
      <c r="B1390" s="86"/>
      <c r="C1390" s="86"/>
      <c r="D1390" s="86"/>
      <c r="E1390" s="86"/>
      <c r="F1390" s="86"/>
    </row>
    <row r="1391" spans="1:6" x14ac:dyDescent="0.15">
      <c r="A1391" s="86"/>
      <c r="B1391" s="86"/>
      <c r="C1391" s="86"/>
      <c r="D1391" s="86"/>
      <c r="E1391" s="86"/>
      <c r="F1391" s="86"/>
    </row>
    <row r="1392" spans="1:6" x14ac:dyDescent="0.15">
      <c r="A1392" s="86"/>
      <c r="B1392" s="86"/>
      <c r="C1392" s="86"/>
      <c r="D1392" s="86"/>
      <c r="E1392" s="86"/>
      <c r="F1392" s="86"/>
    </row>
    <row r="1393" spans="1:6" x14ac:dyDescent="0.15">
      <c r="A1393" s="86"/>
      <c r="B1393" s="86"/>
      <c r="C1393" s="86"/>
      <c r="D1393" s="86"/>
      <c r="E1393" s="86"/>
      <c r="F1393" s="86"/>
    </row>
    <row r="1394" spans="1:6" x14ac:dyDescent="0.15">
      <c r="A1394" s="86"/>
      <c r="B1394" s="86"/>
      <c r="C1394" s="86"/>
      <c r="D1394" s="86"/>
      <c r="E1394" s="86"/>
      <c r="F1394" s="86"/>
    </row>
    <row r="1395" spans="1:6" x14ac:dyDescent="0.15">
      <c r="A1395" s="86"/>
      <c r="B1395" s="86"/>
      <c r="C1395" s="86"/>
      <c r="D1395" s="86"/>
      <c r="E1395" s="86"/>
      <c r="F1395" s="86"/>
    </row>
    <row r="1396" spans="1:6" x14ac:dyDescent="0.15">
      <c r="A1396" s="86"/>
      <c r="B1396" s="86"/>
      <c r="C1396" s="86"/>
      <c r="D1396" s="86"/>
      <c r="E1396" s="86"/>
      <c r="F1396" s="86"/>
    </row>
    <row r="1397" spans="1:6" x14ac:dyDescent="0.15">
      <c r="A1397" s="86"/>
      <c r="B1397" s="86"/>
      <c r="C1397" s="86"/>
      <c r="D1397" s="86"/>
      <c r="E1397" s="86"/>
      <c r="F1397" s="86"/>
    </row>
    <row r="1398" spans="1:6" x14ac:dyDescent="0.15">
      <c r="A1398" s="86"/>
      <c r="B1398" s="86"/>
      <c r="C1398" s="86"/>
      <c r="D1398" s="86"/>
      <c r="E1398" s="86"/>
      <c r="F1398" s="86"/>
    </row>
    <row r="1399" spans="1:6" x14ac:dyDescent="0.15">
      <c r="A1399" s="86"/>
      <c r="B1399" s="86"/>
      <c r="C1399" s="86"/>
      <c r="D1399" s="86"/>
      <c r="E1399" s="86"/>
      <c r="F1399" s="86"/>
    </row>
    <row r="1400" spans="1:6" x14ac:dyDescent="0.15">
      <c r="A1400" s="86"/>
      <c r="B1400" s="86"/>
      <c r="C1400" s="86"/>
      <c r="D1400" s="86"/>
      <c r="E1400" s="86"/>
      <c r="F1400" s="86"/>
    </row>
    <row r="1401" spans="1:6" x14ac:dyDescent="0.15">
      <c r="A1401" s="86"/>
      <c r="B1401" s="86"/>
      <c r="C1401" s="86"/>
      <c r="D1401" s="86"/>
      <c r="E1401" s="86"/>
      <c r="F1401" s="86"/>
    </row>
    <row r="1402" spans="1:6" x14ac:dyDescent="0.15">
      <c r="A1402" s="86"/>
      <c r="B1402" s="86"/>
      <c r="C1402" s="86"/>
      <c r="D1402" s="86"/>
      <c r="E1402" s="86"/>
      <c r="F1402" s="86"/>
    </row>
    <row r="1403" spans="1:6" x14ac:dyDescent="0.15">
      <c r="A1403" s="86"/>
      <c r="B1403" s="86"/>
      <c r="C1403" s="86"/>
      <c r="D1403" s="86"/>
      <c r="E1403" s="86"/>
      <c r="F1403" s="86"/>
    </row>
    <row r="1404" spans="1:6" x14ac:dyDescent="0.15">
      <c r="A1404" s="86"/>
      <c r="B1404" s="86"/>
      <c r="C1404" s="86"/>
      <c r="D1404" s="86"/>
      <c r="E1404" s="86"/>
      <c r="F1404" s="86"/>
    </row>
    <row r="1405" spans="1:6" x14ac:dyDescent="0.15">
      <c r="A1405" s="86"/>
      <c r="B1405" s="86"/>
      <c r="C1405" s="86"/>
      <c r="D1405" s="86"/>
      <c r="E1405" s="86"/>
      <c r="F1405" s="86"/>
    </row>
    <row r="1406" spans="1:6" x14ac:dyDescent="0.15">
      <c r="A1406" s="86"/>
      <c r="B1406" s="86"/>
      <c r="C1406" s="86"/>
      <c r="D1406" s="86"/>
      <c r="E1406" s="86"/>
      <c r="F1406" s="86"/>
    </row>
    <row r="1407" spans="1:6" x14ac:dyDescent="0.15">
      <c r="A1407" s="86"/>
      <c r="B1407" s="86"/>
      <c r="C1407" s="86"/>
      <c r="D1407" s="86"/>
      <c r="E1407" s="86"/>
      <c r="F1407" s="86"/>
    </row>
    <row r="1408" spans="1:6" x14ac:dyDescent="0.15">
      <c r="A1408" s="86"/>
      <c r="B1408" s="86"/>
      <c r="C1408" s="86"/>
      <c r="D1408" s="86"/>
      <c r="E1408" s="86"/>
      <c r="F1408" s="86"/>
    </row>
    <row r="1409" spans="1:6" x14ac:dyDescent="0.15">
      <c r="A1409" s="86"/>
      <c r="B1409" s="86"/>
      <c r="C1409" s="86"/>
      <c r="D1409" s="86"/>
      <c r="E1409" s="86"/>
      <c r="F1409" s="86"/>
    </row>
    <row r="1410" spans="1:6" x14ac:dyDescent="0.15">
      <c r="A1410" s="86"/>
      <c r="B1410" s="86"/>
      <c r="C1410" s="86"/>
      <c r="D1410" s="86"/>
      <c r="E1410" s="86"/>
      <c r="F1410" s="86"/>
    </row>
    <row r="1411" spans="1:6" x14ac:dyDescent="0.15">
      <c r="A1411" s="86"/>
      <c r="B1411" s="86"/>
      <c r="C1411" s="86"/>
      <c r="D1411" s="86"/>
      <c r="E1411" s="86"/>
      <c r="F1411" s="86"/>
    </row>
    <row r="1412" spans="1:6" x14ac:dyDescent="0.15">
      <c r="A1412" s="86"/>
      <c r="B1412" s="86"/>
      <c r="C1412" s="86"/>
      <c r="D1412" s="86"/>
      <c r="E1412" s="86"/>
      <c r="F1412" s="86"/>
    </row>
    <row r="1413" spans="1:6" x14ac:dyDescent="0.15">
      <c r="A1413" s="86"/>
      <c r="B1413" s="86"/>
      <c r="C1413" s="86"/>
      <c r="D1413" s="86"/>
      <c r="E1413" s="86"/>
      <c r="F1413" s="86"/>
    </row>
    <row r="1414" spans="1:6" x14ac:dyDescent="0.15">
      <c r="A1414" s="86"/>
      <c r="B1414" s="86"/>
      <c r="C1414" s="86"/>
      <c r="D1414" s="86"/>
      <c r="E1414" s="86"/>
      <c r="F1414" s="86"/>
    </row>
    <row r="1415" spans="1:6" x14ac:dyDescent="0.15">
      <c r="A1415" s="86"/>
      <c r="B1415" s="86"/>
      <c r="C1415" s="86"/>
      <c r="D1415" s="86"/>
      <c r="E1415" s="86"/>
      <c r="F1415" s="86"/>
    </row>
    <row r="1416" spans="1:6" x14ac:dyDescent="0.15">
      <c r="A1416" s="86"/>
      <c r="B1416" s="86"/>
      <c r="C1416" s="86"/>
      <c r="D1416" s="86"/>
      <c r="E1416" s="86"/>
      <c r="F1416" s="86"/>
    </row>
    <row r="1417" spans="1:6" x14ac:dyDescent="0.15">
      <c r="A1417" s="86"/>
      <c r="B1417" s="86"/>
      <c r="C1417" s="86"/>
      <c r="D1417" s="86"/>
      <c r="E1417" s="86"/>
      <c r="F1417" s="86"/>
    </row>
    <row r="1418" spans="1:6" x14ac:dyDescent="0.15">
      <c r="A1418" s="86"/>
      <c r="B1418" s="86"/>
      <c r="C1418" s="86"/>
      <c r="D1418" s="86"/>
      <c r="E1418" s="86"/>
      <c r="F1418" s="86"/>
    </row>
    <row r="1419" spans="1:6" x14ac:dyDescent="0.15">
      <c r="A1419" s="86"/>
      <c r="B1419" s="86"/>
      <c r="C1419" s="86"/>
      <c r="D1419" s="86"/>
      <c r="E1419" s="86"/>
      <c r="F1419" s="86"/>
    </row>
    <row r="1420" spans="1:6" x14ac:dyDescent="0.15">
      <c r="A1420" s="86"/>
      <c r="B1420" s="86"/>
      <c r="C1420" s="86"/>
      <c r="D1420" s="86"/>
      <c r="E1420" s="86"/>
      <c r="F1420" s="86"/>
    </row>
    <row r="1421" spans="1:6" x14ac:dyDescent="0.15">
      <c r="A1421" s="86"/>
      <c r="B1421" s="86"/>
      <c r="C1421" s="86"/>
      <c r="D1421" s="86"/>
      <c r="E1421" s="86"/>
      <c r="F1421" s="86"/>
    </row>
    <row r="1422" spans="1:6" x14ac:dyDescent="0.15">
      <c r="A1422" s="86"/>
      <c r="B1422" s="86"/>
      <c r="C1422" s="86"/>
      <c r="D1422" s="86"/>
      <c r="E1422" s="86"/>
      <c r="F1422" s="86"/>
    </row>
    <row r="1423" spans="1:6" x14ac:dyDescent="0.15">
      <c r="A1423" s="86"/>
      <c r="B1423" s="86"/>
      <c r="C1423" s="86"/>
      <c r="D1423" s="86"/>
      <c r="E1423" s="86"/>
      <c r="F1423" s="86"/>
    </row>
    <row r="1424" spans="1:6" x14ac:dyDescent="0.15">
      <c r="A1424" s="86"/>
      <c r="B1424" s="86"/>
      <c r="C1424" s="86"/>
      <c r="D1424" s="86"/>
      <c r="E1424" s="86"/>
      <c r="F1424" s="86"/>
    </row>
    <row r="1425" spans="1:6" x14ac:dyDescent="0.15">
      <c r="A1425" s="86"/>
      <c r="B1425" s="86"/>
      <c r="C1425" s="86"/>
      <c r="D1425" s="86"/>
      <c r="E1425" s="86"/>
      <c r="F1425" s="86"/>
    </row>
    <row r="1426" spans="1:6" x14ac:dyDescent="0.15">
      <c r="A1426" s="86"/>
      <c r="B1426" s="86"/>
      <c r="C1426" s="86"/>
      <c r="D1426" s="86"/>
      <c r="E1426" s="86"/>
      <c r="F1426" s="86"/>
    </row>
    <row r="1427" spans="1:6" x14ac:dyDescent="0.15">
      <c r="A1427" s="86"/>
      <c r="B1427" s="86"/>
      <c r="C1427" s="86"/>
      <c r="D1427" s="86"/>
      <c r="E1427" s="86"/>
      <c r="F1427" s="86"/>
    </row>
    <row r="1428" spans="1:6" x14ac:dyDescent="0.15">
      <c r="A1428" s="86"/>
      <c r="B1428" s="86"/>
      <c r="C1428" s="86"/>
      <c r="D1428" s="86"/>
      <c r="E1428" s="86"/>
      <c r="F1428" s="86"/>
    </row>
    <row r="1429" spans="1:6" x14ac:dyDescent="0.15">
      <c r="A1429" s="86"/>
      <c r="B1429" s="86"/>
      <c r="C1429" s="86"/>
      <c r="D1429" s="86"/>
      <c r="E1429" s="86"/>
      <c r="F1429" s="86"/>
    </row>
    <row r="1430" spans="1:6" x14ac:dyDescent="0.15">
      <c r="A1430" s="86"/>
      <c r="B1430" s="86"/>
      <c r="C1430" s="86"/>
      <c r="D1430" s="86"/>
      <c r="E1430" s="86"/>
      <c r="F1430" s="86"/>
    </row>
    <row r="1431" spans="1:6" x14ac:dyDescent="0.15">
      <c r="A1431" s="86"/>
      <c r="B1431" s="86"/>
      <c r="C1431" s="86"/>
      <c r="D1431" s="86"/>
      <c r="E1431" s="86"/>
      <c r="F1431" s="86"/>
    </row>
    <row r="1432" spans="1:6" x14ac:dyDescent="0.15">
      <c r="A1432" s="86"/>
      <c r="B1432" s="86"/>
      <c r="C1432" s="86"/>
      <c r="D1432" s="86"/>
      <c r="E1432" s="86"/>
      <c r="F1432" s="86"/>
    </row>
    <row r="1433" spans="1:6" x14ac:dyDescent="0.15">
      <c r="A1433" s="86"/>
      <c r="B1433" s="86"/>
      <c r="C1433" s="86"/>
      <c r="D1433" s="86"/>
      <c r="E1433" s="86"/>
      <c r="F1433" s="86"/>
    </row>
    <row r="1434" spans="1:6" x14ac:dyDescent="0.15">
      <c r="A1434" s="86"/>
      <c r="B1434" s="86"/>
      <c r="C1434" s="86"/>
      <c r="D1434" s="86"/>
      <c r="E1434" s="86"/>
      <c r="F1434" s="86"/>
    </row>
    <row r="1435" spans="1:6" x14ac:dyDescent="0.15">
      <c r="A1435" s="86"/>
      <c r="B1435" s="86"/>
      <c r="C1435" s="86"/>
      <c r="D1435" s="86"/>
      <c r="E1435" s="86"/>
      <c r="F1435" s="86"/>
    </row>
    <row r="1436" spans="1:6" x14ac:dyDescent="0.15">
      <c r="A1436" s="86"/>
      <c r="B1436" s="86"/>
      <c r="C1436" s="86"/>
      <c r="D1436" s="86"/>
      <c r="E1436" s="86"/>
      <c r="F1436" s="86"/>
    </row>
    <row r="1437" spans="1:6" x14ac:dyDescent="0.15">
      <c r="A1437" s="86"/>
      <c r="B1437" s="86"/>
      <c r="C1437" s="86"/>
      <c r="D1437" s="86"/>
      <c r="E1437" s="86"/>
      <c r="F1437" s="86"/>
    </row>
    <row r="1438" spans="1:6" x14ac:dyDescent="0.15">
      <c r="A1438" s="86"/>
      <c r="B1438" s="86"/>
      <c r="C1438" s="86"/>
      <c r="D1438" s="86"/>
      <c r="E1438" s="86"/>
      <c r="F1438" s="86"/>
    </row>
    <row r="1439" spans="1:6" x14ac:dyDescent="0.15">
      <c r="A1439" s="86"/>
      <c r="B1439" s="86"/>
      <c r="C1439" s="86"/>
      <c r="D1439" s="86"/>
      <c r="E1439" s="86"/>
      <c r="F1439" s="86"/>
    </row>
    <row r="1440" spans="1:6" x14ac:dyDescent="0.15">
      <c r="A1440" s="86"/>
      <c r="B1440" s="86"/>
      <c r="C1440" s="86"/>
      <c r="D1440" s="86"/>
      <c r="E1440" s="86"/>
      <c r="F1440" s="86"/>
    </row>
    <row r="1441" spans="1:6" x14ac:dyDescent="0.15">
      <c r="A1441" s="86"/>
      <c r="B1441" s="86"/>
      <c r="C1441" s="86"/>
      <c r="D1441" s="86"/>
      <c r="E1441" s="86"/>
      <c r="F1441" s="86"/>
    </row>
    <row r="1442" spans="1:6" x14ac:dyDescent="0.15">
      <c r="A1442" s="86"/>
      <c r="B1442" s="86"/>
      <c r="C1442" s="86"/>
      <c r="D1442" s="86"/>
      <c r="E1442" s="86"/>
      <c r="F1442" s="86"/>
    </row>
    <row r="1443" spans="1:6" x14ac:dyDescent="0.15">
      <c r="A1443" s="86"/>
      <c r="B1443" s="86"/>
      <c r="C1443" s="86"/>
      <c r="D1443" s="86"/>
      <c r="E1443" s="86"/>
      <c r="F1443" s="86"/>
    </row>
    <row r="1444" spans="1:6" x14ac:dyDescent="0.15">
      <c r="A1444" s="86"/>
      <c r="B1444" s="86"/>
      <c r="C1444" s="86"/>
      <c r="D1444" s="86"/>
      <c r="E1444" s="86"/>
      <c r="F1444" s="86"/>
    </row>
    <row r="1445" spans="1:6" x14ac:dyDescent="0.15">
      <c r="A1445" s="86"/>
      <c r="B1445" s="86"/>
      <c r="C1445" s="86"/>
      <c r="D1445" s="86"/>
      <c r="E1445" s="86"/>
      <c r="F1445" s="86"/>
    </row>
    <row r="1446" spans="1:6" x14ac:dyDescent="0.15">
      <c r="A1446" s="86"/>
      <c r="B1446" s="86"/>
      <c r="C1446" s="86"/>
      <c r="D1446" s="86"/>
      <c r="E1446" s="86"/>
      <c r="F1446" s="86"/>
    </row>
    <row r="1447" spans="1:6" x14ac:dyDescent="0.15">
      <c r="A1447" s="86"/>
      <c r="B1447" s="86"/>
      <c r="C1447" s="86"/>
      <c r="D1447" s="86"/>
      <c r="E1447" s="86"/>
      <c r="F1447" s="86"/>
    </row>
    <row r="1448" spans="1:6" x14ac:dyDescent="0.15">
      <c r="A1448" s="86"/>
      <c r="B1448" s="86"/>
      <c r="C1448" s="86"/>
      <c r="D1448" s="86"/>
      <c r="E1448" s="86"/>
      <c r="F1448" s="86"/>
    </row>
    <row r="1449" spans="1:6" x14ac:dyDescent="0.15">
      <c r="A1449" s="86"/>
      <c r="B1449" s="86"/>
      <c r="C1449" s="86"/>
      <c r="D1449" s="86"/>
      <c r="E1449" s="86"/>
      <c r="F1449" s="86"/>
    </row>
    <row r="1450" spans="1:6" x14ac:dyDescent="0.15">
      <c r="A1450" s="86"/>
      <c r="B1450" s="86"/>
      <c r="C1450" s="86"/>
      <c r="D1450" s="86"/>
      <c r="E1450" s="86"/>
      <c r="F1450" s="86"/>
    </row>
    <row r="1451" spans="1:6" x14ac:dyDescent="0.15">
      <c r="A1451" s="86"/>
      <c r="B1451" s="86"/>
      <c r="C1451" s="86"/>
      <c r="D1451" s="86"/>
      <c r="E1451" s="86"/>
      <c r="F1451" s="86"/>
    </row>
    <row r="1452" spans="1:6" x14ac:dyDescent="0.15">
      <c r="A1452" s="86"/>
      <c r="B1452" s="86"/>
      <c r="C1452" s="86"/>
      <c r="D1452" s="86"/>
      <c r="E1452" s="86"/>
      <c r="F1452" s="86"/>
    </row>
    <row r="1453" spans="1:6" x14ac:dyDescent="0.15">
      <c r="A1453" s="86"/>
      <c r="B1453" s="86"/>
      <c r="C1453" s="86"/>
      <c r="D1453" s="86"/>
      <c r="E1453" s="86"/>
      <c r="F1453" s="86"/>
    </row>
    <row r="1454" spans="1:6" x14ac:dyDescent="0.15">
      <c r="A1454" s="86"/>
      <c r="B1454" s="86"/>
      <c r="C1454" s="86"/>
      <c r="D1454" s="86"/>
      <c r="E1454" s="86"/>
      <c r="F1454" s="86"/>
    </row>
    <row r="1455" spans="1:6" x14ac:dyDescent="0.15">
      <c r="A1455" s="86"/>
      <c r="B1455" s="86"/>
      <c r="C1455" s="86"/>
      <c r="D1455" s="86"/>
      <c r="E1455" s="86"/>
      <c r="F1455" s="86"/>
    </row>
    <row r="1456" spans="1:6" x14ac:dyDescent="0.15">
      <c r="A1456" s="86"/>
      <c r="B1456" s="86"/>
      <c r="C1456" s="86"/>
      <c r="D1456" s="86"/>
      <c r="E1456" s="86"/>
      <c r="F1456" s="86"/>
    </row>
    <row r="1457" spans="1:6" x14ac:dyDescent="0.15">
      <c r="A1457" s="86"/>
      <c r="B1457" s="86"/>
      <c r="C1457" s="86"/>
      <c r="D1457" s="86"/>
      <c r="E1457" s="86"/>
      <c r="F1457" s="86"/>
    </row>
    <row r="1458" spans="1:6" x14ac:dyDescent="0.15">
      <c r="A1458" s="86"/>
      <c r="B1458" s="86"/>
      <c r="C1458" s="86"/>
      <c r="D1458" s="86"/>
      <c r="E1458" s="86"/>
      <c r="F1458" s="86"/>
    </row>
    <row r="1459" spans="1:6" x14ac:dyDescent="0.15">
      <c r="A1459" s="86"/>
      <c r="B1459" s="86"/>
      <c r="C1459" s="86"/>
      <c r="D1459" s="86"/>
      <c r="E1459" s="86"/>
      <c r="F1459" s="86"/>
    </row>
    <row r="1460" spans="1:6" x14ac:dyDescent="0.15">
      <c r="A1460" s="86"/>
      <c r="B1460" s="86"/>
      <c r="C1460" s="86"/>
      <c r="D1460" s="86"/>
      <c r="E1460" s="86"/>
      <c r="F1460" s="86"/>
    </row>
    <row r="1461" spans="1:6" x14ac:dyDescent="0.15">
      <c r="A1461" s="86"/>
      <c r="B1461" s="86"/>
      <c r="C1461" s="86"/>
      <c r="D1461" s="86"/>
      <c r="E1461" s="86"/>
      <c r="F1461" s="86"/>
    </row>
    <row r="1462" spans="1:6" x14ac:dyDescent="0.15">
      <c r="A1462" s="86"/>
      <c r="B1462" s="86"/>
      <c r="C1462" s="86"/>
      <c r="D1462" s="86"/>
      <c r="E1462" s="86"/>
      <c r="F1462" s="86"/>
    </row>
    <row r="1463" spans="1:6" x14ac:dyDescent="0.15">
      <c r="A1463" s="86"/>
      <c r="B1463" s="86"/>
      <c r="C1463" s="86"/>
      <c r="D1463" s="86"/>
      <c r="E1463" s="86"/>
      <c r="F1463" s="86"/>
    </row>
    <row r="1464" spans="1:6" x14ac:dyDescent="0.15">
      <c r="A1464" s="86"/>
      <c r="B1464" s="86"/>
      <c r="C1464" s="86"/>
      <c r="D1464" s="86"/>
      <c r="E1464" s="86"/>
      <c r="F1464" s="86"/>
    </row>
    <row r="1465" spans="1:6" x14ac:dyDescent="0.15">
      <c r="A1465" s="86"/>
      <c r="B1465" s="86"/>
      <c r="C1465" s="86"/>
      <c r="D1465" s="86"/>
      <c r="E1465" s="86"/>
      <c r="F1465" s="86"/>
    </row>
    <row r="1466" spans="1:6" x14ac:dyDescent="0.15">
      <c r="A1466" s="86"/>
      <c r="B1466" s="86"/>
      <c r="C1466" s="86"/>
      <c r="D1466" s="86"/>
      <c r="E1466" s="86"/>
      <c r="F1466" s="86"/>
    </row>
    <row r="1467" spans="1:6" x14ac:dyDescent="0.15">
      <c r="A1467" s="86"/>
      <c r="B1467" s="86"/>
      <c r="C1467" s="86"/>
      <c r="D1467" s="86"/>
      <c r="E1467" s="86"/>
      <c r="F1467" s="86"/>
    </row>
    <row r="1468" spans="1:6" x14ac:dyDescent="0.15">
      <c r="A1468" s="86"/>
      <c r="B1468" s="86"/>
      <c r="C1468" s="86"/>
      <c r="D1468" s="86"/>
      <c r="E1468" s="86"/>
      <c r="F1468" s="86"/>
    </row>
    <row r="1469" spans="1:6" x14ac:dyDescent="0.15">
      <c r="A1469" s="86"/>
      <c r="B1469" s="86"/>
      <c r="C1469" s="86"/>
      <c r="D1469" s="86"/>
      <c r="E1469" s="86"/>
      <c r="F1469" s="86"/>
    </row>
    <row r="1470" spans="1:6" x14ac:dyDescent="0.15">
      <c r="A1470" s="86"/>
      <c r="B1470" s="86"/>
      <c r="C1470" s="86"/>
      <c r="D1470" s="86"/>
      <c r="E1470" s="86"/>
      <c r="F1470" s="86"/>
    </row>
    <row r="1471" spans="1:6" x14ac:dyDescent="0.15">
      <c r="A1471" s="86"/>
      <c r="B1471" s="86"/>
      <c r="C1471" s="86"/>
      <c r="D1471" s="86"/>
      <c r="E1471" s="86"/>
      <c r="F1471" s="86"/>
    </row>
    <row r="1472" spans="1:6" x14ac:dyDescent="0.15">
      <c r="A1472" s="86"/>
      <c r="B1472" s="86"/>
      <c r="C1472" s="86"/>
      <c r="D1472" s="86"/>
      <c r="E1472" s="86"/>
      <c r="F1472" s="86"/>
    </row>
    <row r="1473" spans="1:6" x14ac:dyDescent="0.15">
      <c r="A1473" s="86"/>
      <c r="B1473" s="86"/>
      <c r="C1473" s="86"/>
      <c r="D1473" s="86"/>
      <c r="E1473" s="86"/>
      <c r="F1473" s="86"/>
    </row>
    <row r="1474" spans="1:6" x14ac:dyDescent="0.15">
      <c r="A1474" s="86"/>
      <c r="B1474" s="86"/>
      <c r="C1474" s="86"/>
      <c r="D1474" s="86"/>
      <c r="E1474" s="86"/>
      <c r="F1474" s="86"/>
    </row>
    <row r="1475" spans="1:6" x14ac:dyDescent="0.15">
      <c r="A1475" s="86"/>
      <c r="B1475" s="86"/>
      <c r="C1475" s="86"/>
      <c r="D1475" s="86"/>
      <c r="E1475" s="86"/>
      <c r="F1475" s="86"/>
    </row>
    <row r="1476" spans="1:6" x14ac:dyDescent="0.15">
      <c r="A1476" s="86"/>
      <c r="B1476" s="86"/>
      <c r="C1476" s="86"/>
      <c r="D1476" s="86"/>
      <c r="E1476" s="86"/>
      <c r="F1476" s="86"/>
    </row>
    <row r="1477" spans="1:6" x14ac:dyDescent="0.15">
      <c r="A1477" s="86"/>
      <c r="B1477" s="86"/>
      <c r="C1477" s="86"/>
      <c r="D1477" s="86"/>
      <c r="E1477" s="86"/>
      <c r="F1477" s="86"/>
    </row>
    <row r="1478" spans="1:6" x14ac:dyDescent="0.15">
      <c r="A1478" s="86"/>
      <c r="B1478" s="86"/>
      <c r="C1478" s="86"/>
      <c r="D1478" s="86"/>
      <c r="E1478" s="86"/>
      <c r="F1478" s="86"/>
    </row>
    <row r="1479" spans="1:6" x14ac:dyDescent="0.15">
      <c r="A1479" s="86"/>
      <c r="B1479" s="86"/>
      <c r="C1479" s="86"/>
      <c r="D1479" s="86"/>
      <c r="E1479" s="86"/>
      <c r="F1479" s="86"/>
    </row>
    <row r="1480" spans="1:6" x14ac:dyDescent="0.15">
      <c r="A1480" s="86"/>
      <c r="B1480" s="86"/>
      <c r="C1480" s="86"/>
      <c r="D1480" s="86"/>
      <c r="E1480" s="86"/>
      <c r="F1480" s="86"/>
    </row>
    <row r="1481" spans="1:6" x14ac:dyDescent="0.15">
      <c r="A1481" s="86"/>
      <c r="B1481" s="86"/>
      <c r="C1481" s="86"/>
      <c r="D1481" s="86"/>
      <c r="E1481" s="86"/>
      <c r="F1481" s="86"/>
    </row>
    <row r="1482" spans="1:6" x14ac:dyDescent="0.15">
      <c r="A1482" s="86"/>
      <c r="B1482" s="86"/>
      <c r="C1482" s="86"/>
      <c r="D1482" s="86"/>
      <c r="E1482" s="86"/>
      <c r="F1482" s="86"/>
    </row>
    <row r="1483" spans="1:6" x14ac:dyDescent="0.15">
      <c r="A1483" s="86"/>
      <c r="B1483" s="86"/>
      <c r="C1483" s="86"/>
      <c r="D1483" s="86"/>
      <c r="E1483" s="86"/>
      <c r="F1483" s="86"/>
    </row>
    <row r="1484" spans="1:6" x14ac:dyDescent="0.15">
      <c r="A1484" s="86"/>
      <c r="B1484" s="86"/>
      <c r="C1484" s="86"/>
      <c r="D1484" s="86"/>
      <c r="E1484" s="86"/>
      <c r="F1484" s="86"/>
    </row>
    <row r="1485" spans="1:6" x14ac:dyDescent="0.15">
      <c r="A1485" s="86"/>
      <c r="B1485" s="86"/>
      <c r="C1485" s="86"/>
      <c r="D1485" s="86"/>
      <c r="E1485" s="86"/>
      <c r="F1485" s="86"/>
    </row>
    <row r="1486" spans="1:6" x14ac:dyDescent="0.15">
      <c r="A1486" s="86"/>
      <c r="B1486" s="86"/>
      <c r="C1486" s="86"/>
      <c r="D1486" s="86"/>
      <c r="E1486" s="86"/>
      <c r="F1486" s="86"/>
    </row>
    <row r="1487" spans="1:6" x14ac:dyDescent="0.15">
      <c r="A1487" s="86"/>
      <c r="B1487" s="86"/>
      <c r="C1487" s="86"/>
      <c r="D1487" s="86"/>
      <c r="E1487" s="86"/>
      <c r="F1487" s="86"/>
    </row>
    <row r="1488" spans="1:6" x14ac:dyDescent="0.15">
      <c r="A1488" s="86"/>
      <c r="B1488" s="86"/>
      <c r="C1488" s="86"/>
      <c r="D1488" s="86"/>
      <c r="E1488" s="86"/>
      <c r="F1488" s="86"/>
    </row>
    <row r="1489" spans="1:6" x14ac:dyDescent="0.15">
      <c r="A1489" s="86"/>
      <c r="B1489" s="86"/>
      <c r="C1489" s="86"/>
      <c r="D1489" s="86"/>
      <c r="E1489" s="86"/>
      <c r="F1489" s="86"/>
    </row>
    <row r="1490" spans="1:6" x14ac:dyDescent="0.15">
      <c r="A1490" s="86"/>
      <c r="B1490" s="86"/>
      <c r="C1490" s="86"/>
      <c r="D1490" s="86"/>
      <c r="E1490" s="86"/>
      <c r="F1490" s="86"/>
    </row>
    <row r="1491" spans="1:6" x14ac:dyDescent="0.15">
      <c r="A1491" s="86"/>
      <c r="B1491" s="86"/>
      <c r="C1491" s="86"/>
      <c r="D1491" s="86"/>
      <c r="E1491" s="86"/>
      <c r="F1491" s="86"/>
    </row>
    <row r="1492" spans="1:6" x14ac:dyDescent="0.15">
      <c r="A1492" s="86"/>
      <c r="B1492" s="86"/>
      <c r="C1492" s="86"/>
      <c r="D1492" s="86"/>
      <c r="E1492" s="86"/>
      <c r="F1492" s="86"/>
    </row>
    <row r="1493" spans="1:6" x14ac:dyDescent="0.15">
      <c r="A1493" s="86"/>
      <c r="B1493" s="86"/>
      <c r="C1493" s="86"/>
      <c r="D1493" s="86"/>
      <c r="E1493" s="86"/>
      <c r="F1493" s="86"/>
    </row>
    <row r="1494" spans="1:6" x14ac:dyDescent="0.15">
      <c r="A1494" s="86"/>
      <c r="B1494" s="86"/>
      <c r="C1494" s="86"/>
      <c r="D1494" s="86"/>
      <c r="E1494" s="86"/>
      <c r="F1494" s="86"/>
    </row>
    <row r="1495" spans="1:6" x14ac:dyDescent="0.15">
      <c r="A1495" s="86"/>
      <c r="B1495" s="86"/>
      <c r="C1495" s="86"/>
      <c r="D1495" s="86"/>
      <c r="E1495" s="86"/>
      <c r="F1495" s="86"/>
    </row>
    <row r="1496" spans="1:6" x14ac:dyDescent="0.15">
      <c r="A1496" s="86"/>
      <c r="B1496" s="86"/>
      <c r="C1496" s="86"/>
      <c r="D1496" s="86"/>
      <c r="E1496" s="86"/>
      <c r="F1496" s="86"/>
    </row>
    <row r="1497" spans="1:6" x14ac:dyDescent="0.15">
      <c r="A1497" s="86"/>
      <c r="B1497" s="86"/>
      <c r="C1497" s="86"/>
      <c r="D1497" s="86"/>
      <c r="E1497" s="86"/>
      <c r="F1497" s="86"/>
    </row>
    <row r="1498" spans="1:6" x14ac:dyDescent="0.15">
      <c r="A1498" s="86"/>
      <c r="B1498" s="86"/>
      <c r="C1498" s="86"/>
      <c r="D1498" s="86"/>
      <c r="E1498" s="86"/>
      <c r="F1498" s="86"/>
    </row>
    <row r="1499" spans="1:6" x14ac:dyDescent="0.15">
      <c r="A1499" s="86"/>
      <c r="B1499" s="86"/>
      <c r="C1499" s="86"/>
      <c r="D1499" s="86"/>
      <c r="E1499" s="86"/>
      <c r="F1499" s="86"/>
    </row>
    <row r="1500" spans="1:6" x14ac:dyDescent="0.15">
      <c r="A1500" s="86"/>
      <c r="B1500" s="86"/>
      <c r="C1500" s="86"/>
      <c r="D1500" s="86"/>
      <c r="E1500" s="86"/>
      <c r="F1500" s="86"/>
    </row>
    <row r="1501" spans="1:6" x14ac:dyDescent="0.15">
      <c r="A1501" s="86"/>
      <c r="B1501" s="86"/>
      <c r="C1501" s="86"/>
      <c r="D1501" s="86"/>
      <c r="E1501" s="86"/>
      <c r="F1501" s="86"/>
    </row>
    <row r="1502" spans="1:6" x14ac:dyDescent="0.15">
      <c r="A1502" s="86"/>
      <c r="B1502" s="86"/>
      <c r="C1502" s="86"/>
      <c r="D1502" s="86"/>
      <c r="E1502" s="86"/>
      <c r="F1502" s="86"/>
    </row>
    <row r="1503" spans="1:6" x14ac:dyDescent="0.15">
      <c r="A1503" s="86"/>
      <c r="B1503" s="86"/>
      <c r="C1503" s="86"/>
      <c r="D1503" s="86"/>
      <c r="E1503" s="86"/>
      <c r="F1503" s="86"/>
    </row>
    <row r="1504" spans="1:6" x14ac:dyDescent="0.15">
      <c r="A1504" s="86"/>
      <c r="B1504" s="86"/>
      <c r="C1504" s="86"/>
      <c r="D1504" s="86"/>
      <c r="E1504" s="86"/>
      <c r="F1504" s="86"/>
    </row>
    <row r="1505" spans="1:6" x14ac:dyDescent="0.15">
      <c r="A1505" s="86"/>
      <c r="B1505" s="86"/>
      <c r="C1505" s="86"/>
      <c r="D1505" s="86"/>
      <c r="E1505" s="86"/>
      <c r="F1505" s="86"/>
    </row>
    <row r="1506" spans="1:6" x14ac:dyDescent="0.15">
      <c r="A1506" s="86"/>
      <c r="B1506" s="86"/>
      <c r="C1506" s="86"/>
      <c r="D1506" s="86"/>
      <c r="E1506" s="86"/>
      <c r="F1506" s="86"/>
    </row>
    <row r="1507" spans="1:6" x14ac:dyDescent="0.15">
      <c r="A1507" s="86"/>
      <c r="B1507" s="86"/>
      <c r="C1507" s="86"/>
      <c r="D1507" s="86"/>
      <c r="E1507" s="86"/>
      <c r="F1507" s="86"/>
    </row>
    <row r="1508" spans="1:6" x14ac:dyDescent="0.15">
      <c r="A1508" s="86"/>
      <c r="B1508" s="86"/>
      <c r="C1508" s="86"/>
      <c r="D1508" s="86"/>
      <c r="E1508" s="86"/>
      <c r="F1508" s="86"/>
    </row>
    <row r="1509" spans="1:6" x14ac:dyDescent="0.15">
      <c r="A1509" s="86"/>
      <c r="B1509" s="86"/>
      <c r="C1509" s="86"/>
      <c r="D1509" s="86"/>
      <c r="E1509" s="86"/>
      <c r="F1509" s="86"/>
    </row>
    <row r="1510" spans="1:6" x14ac:dyDescent="0.15">
      <c r="A1510" s="86"/>
      <c r="B1510" s="86"/>
      <c r="C1510" s="86"/>
      <c r="D1510" s="86"/>
      <c r="E1510" s="86"/>
      <c r="F1510" s="86"/>
    </row>
    <row r="1511" spans="1:6" x14ac:dyDescent="0.15">
      <c r="A1511" s="86"/>
      <c r="B1511" s="86"/>
      <c r="C1511" s="86"/>
      <c r="D1511" s="86"/>
      <c r="E1511" s="86"/>
      <c r="F1511" s="86"/>
    </row>
    <row r="1512" spans="1:6" x14ac:dyDescent="0.15">
      <c r="A1512" s="86"/>
      <c r="B1512" s="86"/>
      <c r="C1512" s="86"/>
      <c r="D1512" s="86"/>
      <c r="E1512" s="86"/>
      <c r="F1512" s="86"/>
    </row>
    <row r="1513" spans="1:6" x14ac:dyDescent="0.15">
      <c r="A1513" s="86"/>
      <c r="B1513" s="86"/>
      <c r="C1513" s="86"/>
      <c r="D1513" s="86"/>
      <c r="E1513" s="86"/>
      <c r="F1513" s="86"/>
    </row>
    <row r="1514" spans="1:6" x14ac:dyDescent="0.15">
      <c r="A1514" s="86"/>
      <c r="B1514" s="86"/>
      <c r="C1514" s="86"/>
      <c r="D1514" s="86"/>
      <c r="E1514" s="86"/>
      <c r="F1514" s="86"/>
    </row>
    <row r="1515" spans="1:6" x14ac:dyDescent="0.15">
      <c r="A1515" s="86"/>
      <c r="B1515" s="86"/>
      <c r="C1515" s="86"/>
      <c r="D1515" s="86"/>
      <c r="E1515" s="86"/>
      <c r="F1515" s="86"/>
    </row>
    <row r="1516" spans="1:6" x14ac:dyDescent="0.15">
      <c r="A1516" s="86"/>
      <c r="B1516" s="86"/>
      <c r="C1516" s="86"/>
      <c r="D1516" s="86"/>
      <c r="E1516" s="86"/>
      <c r="F1516" s="86"/>
    </row>
    <row r="1517" spans="1:6" x14ac:dyDescent="0.15">
      <c r="A1517" s="86"/>
      <c r="B1517" s="86"/>
      <c r="C1517" s="86"/>
      <c r="D1517" s="86"/>
      <c r="E1517" s="86"/>
      <c r="F1517" s="86"/>
    </row>
    <row r="1518" spans="1:6" x14ac:dyDescent="0.15">
      <c r="A1518" s="86"/>
      <c r="B1518" s="86"/>
      <c r="C1518" s="86"/>
      <c r="D1518" s="86"/>
      <c r="E1518" s="86"/>
      <c r="F1518" s="86"/>
    </row>
    <row r="1519" spans="1:6" x14ac:dyDescent="0.15">
      <c r="A1519" s="86"/>
      <c r="B1519" s="86"/>
      <c r="C1519" s="86"/>
      <c r="D1519" s="86"/>
      <c r="E1519" s="86"/>
      <c r="F1519" s="86"/>
    </row>
    <row r="1520" spans="1:6" x14ac:dyDescent="0.15">
      <c r="A1520" s="86"/>
      <c r="B1520" s="86"/>
      <c r="C1520" s="86"/>
      <c r="D1520" s="86"/>
      <c r="E1520" s="86"/>
      <c r="F1520" s="86"/>
    </row>
    <row r="1521" spans="1:6" x14ac:dyDescent="0.15">
      <c r="A1521" s="86"/>
      <c r="B1521" s="86"/>
      <c r="C1521" s="86"/>
      <c r="D1521" s="86"/>
      <c r="E1521" s="86"/>
      <c r="F1521" s="86"/>
    </row>
    <row r="1522" spans="1:6" x14ac:dyDescent="0.15">
      <c r="A1522" s="86"/>
      <c r="B1522" s="86"/>
      <c r="C1522" s="86"/>
      <c r="D1522" s="86"/>
      <c r="E1522" s="86"/>
      <c r="F1522" s="86"/>
    </row>
    <row r="1523" spans="1:6" x14ac:dyDescent="0.15">
      <c r="A1523" s="86"/>
      <c r="B1523" s="86"/>
      <c r="C1523" s="86"/>
      <c r="D1523" s="86"/>
      <c r="E1523" s="86"/>
      <c r="F1523" s="86"/>
    </row>
    <row r="1524" spans="1:6" x14ac:dyDescent="0.15">
      <c r="A1524" s="86"/>
      <c r="B1524" s="86"/>
      <c r="C1524" s="86"/>
      <c r="D1524" s="86"/>
      <c r="E1524" s="86"/>
      <c r="F1524" s="86"/>
    </row>
    <row r="1525" spans="1:6" x14ac:dyDescent="0.15">
      <c r="A1525" s="86"/>
      <c r="B1525" s="86"/>
      <c r="C1525" s="86"/>
      <c r="D1525" s="86"/>
      <c r="E1525" s="86"/>
      <c r="F1525" s="86"/>
    </row>
    <row r="1526" spans="1:6" x14ac:dyDescent="0.15">
      <c r="A1526" s="86"/>
      <c r="B1526" s="86"/>
      <c r="C1526" s="86"/>
      <c r="D1526" s="86"/>
      <c r="E1526" s="86"/>
      <c r="F1526" s="86"/>
    </row>
    <row r="1527" spans="1:6" x14ac:dyDescent="0.15">
      <c r="A1527" s="86"/>
      <c r="B1527" s="86"/>
      <c r="C1527" s="86"/>
      <c r="D1527" s="86"/>
      <c r="E1527" s="86"/>
      <c r="F1527" s="86"/>
    </row>
    <row r="1528" spans="1:6" x14ac:dyDescent="0.15">
      <c r="A1528" s="86"/>
      <c r="B1528" s="86"/>
      <c r="C1528" s="86"/>
      <c r="D1528" s="86"/>
      <c r="E1528" s="86"/>
      <c r="F1528" s="86"/>
    </row>
    <row r="1529" spans="1:6" x14ac:dyDescent="0.15">
      <c r="A1529" s="86"/>
      <c r="B1529" s="86"/>
      <c r="C1529" s="86"/>
      <c r="D1529" s="86"/>
      <c r="E1529" s="86"/>
      <c r="F1529" s="86"/>
    </row>
    <row r="1530" spans="1:6" x14ac:dyDescent="0.15">
      <c r="A1530" s="86"/>
      <c r="B1530" s="86"/>
      <c r="C1530" s="86"/>
      <c r="D1530" s="86"/>
      <c r="E1530" s="86"/>
      <c r="F1530" s="86"/>
    </row>
    <row r="1531" spans="1:6" x14ac:dyDescent="0.15">
      <c r="A1531" s="86"/>
      <c r="B1531" s="86"/>
      <c r="C1531" s="86"/>
      <c r="D1531" s="86"/>
      <c r="E1531" s="86"/>
      <c r="F1531" s="86"/>
    </row>
    <row r="1532" spans="1:6" x14ac:dyDescent="0.15">
      <c r="A1532" s="86"/>
      <c r="B1532" s="86"/>
      <c r="C1532" s="86"/>
      <c r="D1532" s="86"/>
      <c r="E1532" s="86"/>
      <c r="F1532" s="86"/>
    </row>
    <row r="1533" spans="1:6" x14ac:dyDescent="0.15">
      <c r="A1533" s="86"/>
      <c r="B1533" s="86"/>
      <c r="C1533" s="86"/>
      <c r="D1533" s="86"/>
      <c r="E1533" s="86"/>
      <c r="F1533" s="86"/>
    </row>
    <row r="1534" spans="1:6" x14ac:dyDescent="0.15">
      <c r="A1534" s="86"/>
      <c r="B1534" s="86"/>
      <c r="C1534" s="86"/>
      <c r="D1534" s="86"/>
      <c r="E1534" s="86"/>
      <c r="F1534" s="86"/>
    </row>
    <row r="1535" spans="1:6" x14ac:dyDescent="0.15">
      <c r="A1535" s="86"/>
      <c r="B1535" s="86"/>
      <c r="C1535" s="86"/>
      <c r="D1535" s="86"/>
      <c r="E1535" s="86"/>
      <c r="F1535" s="86"/>
    </row>
    <row r="1536" spans="1:6" x14ac:dyDescent="0.15">
      <c r="A1536" s="86"/>
      <c r="B1536" s="86"/>
      <c r="C1536" s="86"/>
      <c r="D1536" s="86"/>
      <c r="E1536" s="86"/>
      <c r="F1536" s="86"/>
    </row>
    <row r="1537" spans="1:6" x14ac:dyDescent="0.15">
      <c r="A1537" s="86"/>
      <c r="B1537" s="86"/>
      <c r="C1537" s="86"/>
      <c r="D1537" s="86"/>
      <c r="E1537" s="86"/>
      <c r="F1537" s="86"/>
    </row>
    <row r="1538" spans="1:6" x14ac:dyDescent="0.15">
      <c r="A1538" s="86"/>
      <c r="B1538" s="86"/>
      <c r="C1538" s="86"/>
      <c r="D1538" s="86"/>
      <c r="E1538" s="86"/>
      <c r="F1538" s="86"/>
    </row>
    <row r="1539" spans="1:6" x14ac:dyDescent="0.15">
      <c r="A1539" s="86"/>
      <c r="B1539" s="86"/>
      <c r="C1539" s="86"/>
      <c r="D1539" s="86"/>
      <c r="E1539" s="86"/>
      <c r="F1539" s="86"/>
    </row>
    <row r="1540" spans="1:6" x14ac:dyDescent="0.15">
      <c r="A1540" s="86"/>
      <c r="B1540" s="86"/>
      <c r="C1540" s="86"/>
      <c r="D1540" s="86"/>
      <c r="E1540" s="86"/>
      <c r="F1540" s="86"/>
    </row>
    <row r="1541" spans="1:6" x14ac:dyDescent="0.15">
      <c r="A1541" s="86"/>
      <c r="B1541" s="86"/>
      <c r="C1541" s="86"/>
      <c r="D1541" s="86"/>
      <c r="E1541" s="86"/>
      <c r="F1541" s="86"/>
    </row>
    <row r="1542" spans="1:6" x14ac:dyDescent="0.15">
      <c r="A1542" s="86"/>
      <c r="B1542" s="86"/>
      <c r="C1542" s="86"/>
      <c r="D1542" s="86"/>
      <c r="E1542" s="86"/>
      <c r="F1542" s="86"/>
    </row>
    <row r="1543" spans="1:6" x14ac:dyDescent="0.15">
      <c r="A1543" s="86"/>
      <c r="B1543" s="86"/>
      <c r="C1543" s="86"/>
      <c r="D1543" s="86"/>
      <c r="E1543" s="86"/>
      <c r="F1543" s="86"/>
    </row>
    <row r="1544" spans="1:6" x14ac:dyDescent="0.15">
      <c r="A1544" s="86"/>
      <c r="B1544" s="86"/>
      <c r="C1544" s="86"/>
      <c r="D1544" s="86"/>
      <c r="E1544" s="86"/>
      <c r="F1544" s="86"/>
    </row>
    <row r="1545" spans="1:6" x14ac:dyDescent="0.15">
      <c r="A1545" s="86"/>
      <c r="B1545" s="86"/>
      <c r="C1545" s="86"/>
      <c r="D1545" s="86"/>
      <c r="E1545" s="86"/>
      <c r="F1545" s="86"/>
    </row>
    <row r="1546" spans="1:6" x14ac:dyDescent="0.15">
      <c r="A1546" s="86"/>
      <c r="B1546" s="86"/>
      <c r="C1546" s="86"/>
      <c r="D1546" s="86"/>
      <c r="E1546" s="86"/>
      <c r="F1546" s="86"/>
    </row>
    <row r="1547" spans="1:6" x14ac:dyDescent="0.15">
      <c r="A1547" s="86"/>
      <c r="B1547" s="86"/>
      <c r="C1547" s="86"/>
      <c r="D1547" s="86"/>
      <c r="E1547" s="86"/>
      <c r="F1547" s="86"/>
    </row>
    <row r="1548" spans="1:6" x14ac:dyDescent="0.15">
      <c r="A1548" s="86"/>
      <c r="B1548" s="86"/>
      <c r="C1548" s="86"/>
      <c r="D1548" s="86"/>
      <c r="E1548" s="86"/>
      <c r="F1548" s="86"/>
    </row>
    <row r="1549" spans="1:6" x14ac:dyDescent="0.15">
      <c r="A1549" s="86"/>
      <c r="B1549" s="86"/>
      <c r="C1549" s="86"/>
      <c r="D1549" s="86"/>
      <c r="E1549" s="86"/>
      <c r="F1549" s="86"/>
    </row>
    <row r="1550" spans="1:6" x14ac:dyDescent="0.15">
      <c r="A1550" s="86"/>
      <c r="B1550" s="86"/>
      <c r="C1550" s="86"/>
      <c r="D1550" s="86"/>
      <c r="E1550" s="86"/>
      <c r="F1550" s="86"/>
    </row>
    <row r="1551" spans="1:6" x14ac:dyDescent="0.15">
      <c r="A1551" s="86"/>
      <c r="B1551" s="86"/>
      <c r="C1551" s="86"/>
      <c r="D1551" s="86"/>
      <c r="E1551" s="86"/>
      <c r="F1551" s="86"/>
    </row>
    <row r="1552" spans="1:6" x14ac:dyDescent="0.15">
      <c r="A1552" s="86"/>
      <c r="B1552" s="86"/>
      <c r="C1552" s="86"/>
      <c r="D1552" s="86"/>
      <c r="E1552" s="86"/>
      <c r="F1552" s="86"/>
    </row>
    <row r="1553" spans="1:6" x14ac:dyDescent="0.15">
      <c r="A1553" s="86"/>
      <c r="B1553" s="86"/>
      <c r="C1553" s="86"/>
      <c r="D1553" s="86"/>
      <c r="E1553" s="86"/>
      <c r="F1553" s="86"/>
    </row>
    <row r="1554" spans="1:6" x14ac:dyDescent="0.15">
      <c r="A1554" s="86"/>
      <c r="B1554" s="86"/>
      <c r="C1554" s="86"/>
      <c r="D1554" s="86"/>
      <c r="E1554" s="86"/>
      <c r="F1554" s="86"/>
    </row>
    <row r="1555" spans="1:6" x14ac:dyDescent="0.15">
      <c r="A1555" s="86"/>
      <c r="B1555" s="86"/>
      <c r="C1555" s="86"/>
      <c r="D1555" s="86"/>
      <c r="E1555" s="86"/>
      <c r="F1555" s="86"/>
    </row>
    <row r="1556" spans="1:6" x14ac:dyDescent="0.15">
      <c r="A1556" s="86"/>
      <c r="B1556" s="86"/>
      <c r="C1556" s="86"/>
      <c r="D1556" s="86"/>
      <c r="E1556" s="86"/>
      <c r="F1556" s="86"/>
    </row>
    <row r="1557" spans="1:6" x14ac:dyDescent="0.15">
      <c r="A1557" s="86"/>
      <c r="B1557" s="86"/>
      <c r="C1557" s="86"/>
      <c r="D1557" s="86"/>
      <c r="E1557" s="86"/>
      <c r="F1557" s="86"/>
    </row>
    <row r="1558" spans="1:6" x14ac:dyDescent="0.15">
      <c r="A1558" s="86"/>
      <c r="B1558" s="86"/>
      <c r="C1558" s="86"/>
      <c r="D1558" s="86"/>
      <c r="E1558" s="86"/>
      <c r="F1558" s="86"/>
    </row>
    <row r="1559" spans="1:6" x14ac:dyDescent="0.15">
      <c r="A1559" s="86"/>
      <c r="B1559" s="86"/>
      <c r="C1559" s="86"/>
      <c r="D1559" s="86"/>
      <c r="E1559" s="86"/>
      <c r="F1559" s="86"/>
    </row>
    <row r="1560" spans="1:6" x14ac:dyDescent="0.15">
      <c r="A1560" s="86"/>
      <c r="B1560" s="86"/>
      <c r="C1560" s="86"/>
      <c r="D1560" s="86"/>
      <c r="E1560" s="86"/>
      <c r="F1560" s="86"/>
    </row>
    <row r="1561" spans="1:6" x14ac:dyDescent="0.15">
      <c r="A1561" s="86"/>
      <c r="B1561" s="86"/>
      <c r="C1561" s="86"/>
      <c r="D1561" s="86"/>
      <c r="E1561" s="86"/>
      <c r="F1561" s="86"/>
    </row>
    <row r="1562" spans="1:6" x14ac:dyDescent="0.15">
      <c r="A1562" s="86"/>
      <c r="B1562" s="86"/>
      <c r="C1562" s="86"/>
      <c r="D1562" s="86"/>
      <c r="E1562" s="86"/>
      <c r="F1562" s="86"/>
    </row>
    <row r="1563" spans="1:6" x14ac:dyDescent="0.15">
      <c r="A1563" s="86"/>
      <c r="B1563" s="86"/>
      <c r="C1563" s="86"/>
      <c r="D1563" s="86"/>
      <c r="E1563" s="86"/>
      <c r="F1563" s="86"/>
    </row>
    <row r="1564" spans="1:6" x14ac:dyDescent="0.15">
      <c r="A1564" s="86"/>
      <c r="B1564" s="86"/>
      <c r="C1564" s="86"/>
      <c r="D1564" s="86"/>
      <c r="E1564" s="86"/>
      <c r="F1564" s="86"/>
    </row>
    <row r="1565" spans="1:6" x14ac:dyDescent="0.15">
      <c r="A1565" s="86"/>
      <c r="B1565" s="86"/>
      <c r="C1565" s="86"/>
      <c r="D1565" s="86"/>
      <c r="E1565" s="86"/>
      <c r="F1565" s="86"/>
    </row>
    <row r="1566" spans="1:6" x14ac:dyDescent="0.15">
      <c r="A1566" s="86"/>
      <c r="B1566" s="86"/>
      <c r="C1566" s="86"/>
      <c r="D1566" s="86"/>
      <c r="E1566" s="86"/>
      <c r="F1566" s="86"/>
    </row>
    <row r="1567" spans="1:6" x14ac:dyDescent="0.15">
      <c r="A1567" s="86"/>
      <c r="B1567" s="86"/>
      <c r="C1567" s="86"/>
      <c r="D1567" s="86"/>
      <c r="E1567" s="86"/>
      <c r="F1567" s="86"/>
    </row>
    <row r="1568" spans="1:6" x14ac:dyDescent="0.15">
      <c r="A1568" s="86"/>
      <c r="B1568" s="86"/>
      <c r="C1568" s="86"/>
      <c r="D1568" s="86"/>
      <c r="E1568" s="86"/>
      <c r="F1568" s="86"/>
    </row>
    <row r="1569" spans="1:6" x14ac:dyDescent="0.15">
      <c r="A1569" s="86"/>
      <c r="B1569" s="86"/>
      <c r="C1569" s="86"/>
      <c r="D1569" s="86"/>
      <c r="E1569" s="86"/>
      <c r="F1569" s="86"/>
    </row>
    <row r="1570" spans="1:6" x14ac:dyDescent="0.15">
      <c r="A1570" s="86"/>
      <c r="B1570" s="86"/>
      <c r="C1570" s="86"/>
      <c r="D1570" s="86"/>
      <c r="E1570" s="86"/>
      <c r="F1570" s="86"/>
    </row>
    <row r="1571" spans="1:6" x14ac:dyDescent="0.15">
      <c r="A1571" s="86"/>
      <c r="B1571" s="86"/>
      <c r="C1571" s="86"/>
      <c r="D1571" s="86"/>
      <c r="E1571" s="86"/>
      <c r="F1571" s="86"/>
    </row>
    <row r="1572" spans="1:6" x14ac:dyDescent="0.15">
      <c r="A1572" s="86"/>
      <c r="B1572" s="86"/>
      <c r="C1572" s="86"/>
      <c r="D1572" s="86"/>
      <c r="E1572" s="86"/>
      <c r="F1572" s="86"/>
    </row>
    <row r="1573" spans="1:6" x14ac:dyDescent="0.15">
      <c r="A1573" s="86"/>
      <c r="B1573" s="86"/>
      <c r="C1573" s="86"/>
      <c r="D1573" s="86"/>
      <c r="E1573" s="86"/>
      <c r="F1573" s="86"/>
    </row>
    <row r="1574" spans="1:6" x14ac:dyDescent="0.15">
      <c r="A1574" s="86"/>
      <c r="B1574" s="86"/>
      <c r="C1574" s="86"/>
      <c r="D1574" s="86"/>
      <c r="E1574" s="86"/>
      <c r="F1574" s="86"/>
    </row>
    <row r="1575" spans="1:6" x14ac:dyDescent="0.15">
      <c r="A1575" s="86"/>
      <c r="B1575" s="86"/>
      <c r="C1575" s="86"/>
      <c r="D1575" s="86"/>
      <c r="E1575" s="86"/>
      <c r="F1575" s="86"/>
    </row>
    <row r="1576" spans="1:6" x14ac:dyDescent="0.15">
      <c r="A1576" s="86"/>
      <c r="B1576" s="86"/>
      <c r="C1576" s="86"/>
      <c r="D1576" s="86"/>
      <c r="E1576" s="86"/>
      <c r="F1576" s="86"/>
    </row>
    <row r="1577" spans="1:6" x14ac:dyDescent="0.15">
      <c r="A1577" s="86"/>
      <c r="B1577" s="86"/>
      <c r="C1577" s="86"/>
      <c r="D1577" s="86"/>
      <c r="E1577" s="86"/>
      <c r="F1577" s="86"/>
    </row>
    <row r="1578" spans="1:6" x14ac:dyDescent="0.15">
      <c r="A1578" s="86"/>
      <c r="B1578" s="86"/>
      <c r="C1578" s="86"/>
      <c r="D1578" s="86"/>
      <c r="E1578" s="86"/>
      <c r="F1578" s="86"/>
    </row>
    <row r="1579" spans="1:6" x14ac:dyDescent="0.15">
      <c r="A1579" s="86"/>
      <c r="B1579" s="86"/>
      <c r="C1579" s="86"/>
      <c r="D1579" s="86"/>
      <c r="E1579" s="86"/>
      <c r="F1579" s="86"/>
    </row>
    <row r="1580" spans="1:6" x14ac:dyDescent="0.15">
      <c r="A1580" s="86"/>
      <c r="B1580" s="86"/>
      <c r="C1580" s="86"/>
      <c r="D1580" s="86"/>
      <c r="E1580" s="86"/>
      <c r="F1580" s="86"/>
    </row>
    <row r="1581" spans="1:6" x14ac:dyDescent="0.15">
      <c r="A1581" s="86"/>
      <c r="B1581" s="86"/>
      <c r="C1581" s="86"/>
      <c r="D1581" s="86"/>
      <c r="E1581" s="86"/>
      <c r="F1581" s="86"/>
    </row>
    <row r="1582" spans="1:6" x14ac:dyDescent="0.15">
      <c r="A1582" s="86"/>
      <c r="B1582" s="86"/>
      <c r="C1582" s="86"/>
      <c r="D1582" s="86"/>
      <c r="E1582" s="86"/>
      <c r="F1582" s="86"/>
    </row>
    <row r="1583" spans="1:6" x14ac:dyDescent="0.15">
      <c r="A1583" s="86"/>
      <c r="B1583" s="86"/>
      <c r="C1583" s="86"/>
      <c r="D1583" s="86"/>
      <c r="E1583" s="86"/>
      <c r="F1583" s="86"/>
    </row>
    <row r="1584" spans="1:6" x14ac:dyDescent="0.15">
      <c r="A1584" s="86"/>
      <c r="B1584" s="86"/>
      <c r="C1584" s="86"/>
      <c r="D1584" s="86"/>
      <c r="E1584" s="86"/>
      <c r="F1584" s="86"/>
    </row>
    <row r="1585" spans="1:6" x14ac:dyDescent="0.15">
      <c r="A1585" s="86"/>
      <c r="B1585" s="86"/>
      <c r="C1585" s="86"/>
      <c r="D1585" s="86"/>
      <c r="E1585" s="86"/>
      <c r="F1585" s="86"/>
    </row>
    <row r="1586" spans="1:6" x14ac:dyDescent="0.15">
      <c r="A1586" s="86"/>
      <c r="B1586" s="86"/>
      <c r="C1586" s="86"/>
      <c r="D1586" s="86"/>
      <c r="E1586" s="86"/>
      <c r="F1586" s="86"/>
    </row>
    <row r="1587" spans="1:6" x14ac:dyDescent="0.15">
      <c r="A1587" s="86"/>
      <c r="B1587" s="86"/>
      <c r="C1587" s="86"/>
      <c r="D1587" s="86"/>
      <c r="E1587" s="86"/>
      <c r="F1587" s="86"/>
    </row>
    <row r="1588" spans="1:6" x14ac:dyDescent="0.15">
      <c r="A1588" s="86"/>
      <c r="B1588" s="86"/>
      <c r="C1588" s="86"/>
      <c r="D1588" s="86"/>
      <c r="E1588" s="86"/>
      <c r="F1588" s="86"/>
    </row>
    <row r="1589" spans="1:6" x14ac:dyDescent="0.15">
      <c r="A1589" s="86"/>
      <c r="B1589" s="86"/>
      <c r="C1589" s="86"/>
      <c r="D1589" s="86"/>
      <c r="E1589" s="86"/>
      <c r="F1589" s="86"/>
    </row>
    <row r="1590" spans="1:6" x14ac:dyDescent="0.15">
      <c r="A1590" s="86"/>
      <c r="B1590" s="86"/>
      <c r="C1590" s="86"/>
      <c r="D1590" s="86"/>
      <c r="E1590" s="86"/>
      <c r="F1590" s="86"/>
    </row>
    <row r="1591" spans="1:6" x14ac:dyDescent="0.15">
      <c r="A1591" s="86"/>
      <c r="B1591" s="86"/>
      <c r="C1591" s="86"/>
      <c r="D1591" s="86"/>
      <c r="E1591" s="86"/>
      <c r="F1591" s="86"/>
    </row>
    <row r="1592" spans="1:6" x14ac:dyDescent="0.15">
      <c r="A1592" s="86"/>
      <c r="B1592" s="86"/>
      <c r="C1592" s="86"/>
      <c r="D1592" s="86"/>
      <c r="E1592" s="86"/>
      <c r="F1592" s="86"/>
    </row>
    <row r="1593" spans="1:6" x14ac:dyDescent="0.15">
      <c r="A1593" s="86"/>
      <c r="B1593" s="86"/>
      <c r="C1593" s="86"/>
      <c r="D1593" s="86"/>
      <c r="E1593" s="86"/>
      <c r="F1593" s="86"/>
    </row>
    <row r="1594" spans="1:6" x14ac:dyDescent="0.15">
      <c r="A1594" s="86"/>
      <c r="B1594" s="86"/>
      <c r="C1594" s="86"/>
      <c r="D1594" s="86"/>
      <c r="E1594" s="86"/>
      <c r="F1594" s="86"/>
    </row>
    <row r="1595" spans="1:6" x14ac:dyDescent="0.15">
      <c r="A1595" s="86"/>
      <c r="B1595" s="86"/>
      <c r="C1595" s="86"/>
      <c r="D1595" s="86"/>
      <c r="E1595" s="86"/>
      <c r="F1595" s="86"/>
    </row>
    <row r="1596" spans="1:6" x14ac:dyDescent="0.15">
      <c r="A1596" s="86"/>
      <c r="B1596" s="86"/>
      <c r="C1596" s="86"/>
      <c r="D1596" s="86"/>
      <c r="E1596" s="86"/>
      <c r="F1596" s="86"/>
    </row>
    <row r="1597" spans="1:6" x14ac:dyDescent="0.15">
      <c r="A1597" s="86"/>
      <c r="B1597" s="86"/>
      <c r="C1597" s="86"/>
      <c r="D1597" s="86"/>
      <c r="E1597" s="86"/>
      <c r="F1597" s="86"/>
    </row>
    <row r="1598" spans="1:6" x14ac:dyDescent="0.15">
      <c r="A1598" s="86"/>
      <c r="B1598" s="86"/>
      <c r="C1598" s="86"/>
      <c r="D1598" s="86"/>
      <c r="E1598" s="86"/>
      <c r="F1598" s="86"/>
    </row>
    <row r="1599" spans="1:6" x14ac:dyDescent="0.15">
      <c r="A1599" s="86"/>
      <c r="B1599" s="86"/>
      <c r="C1599" s="86"/>
      <c r="D1599" s="86"/>
      <c r="E1599" s="86"/>
      <c r="F1599" s="86"/>
    </row>
    <row r="1600" spans="1:6" x14ac:dyDescent="0.15">
      <c r="A1600" s="86"/>
      <c r="B1600" s="86"/>
      <c r="C1600" s="86"/>
      <c r="D1600" s="86"/>
      <c r="E1600" s="86"/>
      <c r="F1600" s="86"/>
    </row>
    <row r="1601" spans="1:6" x14ac:dyDescent="0.15">
      <c r="A1601" s="86"/>
      <c r="B1601" s="86"/>
      <c r="C1601" s="86"/>
      <c r="D1601" s="86"/>
      <c r="E1601" s="86"/>
      <c r="F1601" s="86"/>
    </row>
    <row r="1602" spans="1:6" x14ac:dyDescent="0.15">
      <c r="A1602" s="86"/>
      <c r="B1602" s="86"/>
      <c r="C1602" s="86"/>
      <c r="D1602" s="86"/>
      <c r="E1602" s="86"/>
      <c r="F1602" s="86"/>
    </row>
    <row r="1603" spans="1:6" x14ac:dyDescent="0.15">
      <c r="A1603" s="86"/>
      <c r="B1603" s="86"/>
      <c r="C1603" s="86"/>
      <c r="D1603" s="86"/>
      <c r="E1603" s="86"/>
      <c r="F1603" s="86"/>
    </row>
    <row r="1604" spans="1:6" x14ac:dyDescent="0.15">
      <c r="A1604" s="86"/>
      <c r="B1604" s="86"/>
      <c r="C1604" s="86"/>
      <c r="D1604" s="86"/>
      <c r="E1604" s="86"/>
      <c r="F1604" s="86"/>
    </row>
    <row r="1605" spans="1:6" x14ac:dyDescent="0.15">
      <c r="A1605" s="86"/>
      <c r="B1605" s="86"/>
      <c r="C1605" s="86"/>
      <c r="D1605" s="86"/>
      <c r="E1605" s="86"/>
      <c r="F1605" s="86"/>
    </row>
    <row r="1606" spans="1:6" x14ac:dyDescent="0.15">
      <c r="A1606" s="86"/>
      <c r="B1606" s="86"/>
      <c r="C1606" s="86"/>
      <c r="D1606" s="86"/>
      <c r="E1606" s="86"/>
      <c r="F1606" s="86"/>
    </row>
    <row r="1607" spans="1:6" x14ac:dyDescent="0.15">
      <c r="A1607" s="86"/>
      <c r="B1607" s="86"/>
      <c r="C1607" s="86"/>
      <c r="D1607" s="86"/>
      <c r="E1607" s="86"/>
      <c r="F1607" s="86"/>
    </row>
    <row r="1608" spans="1:6" x14ac:dyDescent="0.15">
      <c r="A1608" s="86"/>
      <c r="B1608" s="86"/>
      <c r="C1608" s="86"/>
      <c r="D1608" s="86"/>
      <c r="E1608" s="86"/>
      <c r="F1608" s="86"/>
    </row>
    <row r="1609" spans="1:6" x14ac:dyDescent="0.15">
      <c r="A1609" s="86"/>
      <c r="B1609" s="86"/>
      <c r="C1609" s="86"/>
      <c r="D1609" s="86"/>
      <c r="E1609" s="86"/>
      <c r="F1609" s="86"/>
    </row>
    <row r="1610" spans="1:6" x14ac:dyDescent="0.15">
      <c r="A1610" s="86"/>
      <c r="B1610" s="86"/>
      <c r="C1610" s="86"/>
      <c r="D1610" s="86"/>
      <c r="E1610" s="86"/>
      <c r="F1610" s="86"/>
    </row>
    <row r="1611" spans="1:6" x14ac:dyDescent="0.15">
      <c r="A1611" s="86"/>
      <c r="B1611" s="86"/>
      <c r="C1611" s="86"/>
      <c r="D1611" s="86"/>
      <c r="E1611" s="86"/>
      <c r="F1611" s="86"/>
    </row>
    <row r="1612" spans="1:6" x14ac:dyDescent="0.15">
      <c r="A1612" s="86"/>
      <c r="B1612" s="86"/>
      <c r="C1612" s="86"/>
      <c r="D1612" s="86"/>
      <c r="E1612" s="86"/>
      <c r="F1612" s="86"/>
    </row>
    <row r="1613" spans="1:6" x14ac:dyDescent="0.15">
      <c r="A1613" s="86"/>
      <c r="B1613" s="86"/>
      <c r="C1613" s="86"/>
      <c r="D1613" s="86"/>
      <c r="E1613" s="86"/>
      <c r="F1613" s="86"/>
    </row>
    <row r="1614" spans="1:6" x14ac:dyDescent="0.15">
      <c r="A1614" s="86"/>
      <c r="B1614" s="86"/>
      <c r="C1614" s="86"/>
      <c r="D1614" s="86"/>
      <c r="E1614" s="86"/>
      <c r="F1614" s="86"/>
    </row>
    <row r="1615" spans="1:6" x14ac:dyDescent="0.15">
      <c r="A1615" s="86"/>
      <c r="B1615" s="86"/>
      <c r="C1615" s="86"/>
      <c r="D1615" s="86"/>
      <c r="E1615" s="86"/>
      <c r="F1615" s="86"/>
    </row>
    <row r="1616" spans="1:6" x14ac:dyDescent="0.15">
      <c r="A1616" s="86"/>
      <c r="B1616" s="86"/>
      <c r="C1616" s="86"/>
      <c r="D1616" s="86"/>
      <c r="E1616" s="86"/>
      <c r="F1616" s="86"/>
    </row>
    <row r="1617" spans="1:6" x14ac:dyDescent="0.15">
      <c r="A1617" s="86"/>
      <c r="B1617" s="86"/>
      <c r="C1617" s="86"/>
      <c r="D1617" s="86"/>
      <c r="E1617" s="86"/>
      <c r="F1617" s="86"/>
    </row>
    <row r="1618" spans="1:6" x14ac:dyDescent="0.15">
      <c r="A1618" s="86"/>
      <c r="B1618" s="86"/>
      <c r="C1618" s="86"/>
      <c r="D1618" s="86"/>
      <c r="E1618" s="86"/>
      <c r="F1618" s="86"/>
    </row>
    <row r="1619" spans="1:6" x14ac:dyDescent="0.15">
      <c r="A1619" s="86"/>
      <c r="B1619" s="86"/>
      <c r="C1619" s="86"/>
      <c r="D1619" s="86"/>
      <c r="E1619" s="86"/>
      <c r="F1619" s="86"/>
    </row>
    <row r="1620" spans="1:6" x14ac:dyDescent="0.15">
      <c r="A1620" s="86"/>
      <c r="B1620" s="86"/>
      <c r="C1620" s="86"/>
      <c r="D1620" s="86"/>
      <c r="E1620" s="86"/>
      <c r="F1620" s="86"/>
    </row>
    <row r="1621" spans="1:6" x14ac:dyDescent="0.15">
      <c r="A1621" s="86"/>
      <c r="B1621" s="86"/>
      <c r="C1621" s="86"/>
      <c r="D1621" s="86"/>
      <c r="E1621" s="86"/>
      <c r="F1621" s="86"/>
    </row>
    <row r="1622" spans="1:6" x14ac:dyDescent="0.15">
      <c r="A1622" s="86"/>
      <c r="B1622" s="86"/>
      <c r="C1622" s="86"/>
      <c r="D1622" s="86"/>
      <c r="E1622" s="86"/>
      <c r="F1622" s="86"/>
    </row>
    <row r="1623" spans="1:6" x14ac:dyDescent="0.15">
      <c r="A1623" s="86"/>
      <c r="B1623" s="86"/>
      <c r="C1623" s="86"/>
      <c r="D1623" s="86"/>
      <c r="E1623" s="86"/>
      <c r="F1623" s="86"/>
    </row>
    <row r="1624" spans="1:6" x14ac:dyDescent="0.15">
      <c r="A1624" s="86"/>
      <c r="B1624" s="86"/>
      <c r="C1624" s="86"/>
      <c r="D1624" s="86"/>
      <c r="E1624" s="86"/>
      <c r="F1624" s="86"/>
    </row>
    <row r="1625" spans="1:6" x14ac:dyDescent="0.15">
      <c r="A1625" s="86"/>
      <c r="B1625" s="86"/>
      <c r="C1625" s="86"/>
      <c r="D1625" s="86"/>
      <c r="E1625" s="86"/>
      <c r="F1625" s="86"/>
    </row>
    <row r="1626" spans="1:6" x14ac:dyDescent="0.15">
      <c r="A1626" s="86"/>
      <c r="B1626" s="86"/>
      <c r="C1626" s="86"/>
      <c r="D1626" s="86"/>
      <c r="E1626" s="86"/>
      <c r="F1626" s="86"/>
    </row>
    <row r="1627" spans="1:6" x14ac:dyDescent="0.15">
      <c r="A1627" s="86"/>
      <c r="B1627" s="86"/>
      <c r="C1627" s="86"/>
      <c r="D1627" s="86"/>
      <c r="E1627" s="86"/>
      <c r="F1627" s="86"/>
    </row>
    <row r="1628" spans="1:6" x14ac:dyDescent="0.15">
      <c r="A1628" s="86"/>
      <c r="B1628" s="86"/>
      <c r="C1628" s="86"/>
      <c r="D1628" s="86"/>
      <c r="E1628" s="86"/>
      <c r="F1628" s="86"/>
    </row>
    <row r="1629" spans="1:6" x14ac:dyDescent="0.15">
      <c r="A1629" s="86"/>
      <c r="B1629" s="86"/>
      <c r="C1629" s="86"/>
      <c r="D1629" s="86"/>
      <c r="E1629" s="86"/>
      <c r="F1629" s="86"/>
    </row>
    <row r="1630" spans="1:6" x14ac:dyDescent="0.15">
      <c r="A1630" s="86"/>
      <c r="B1630" s="86"/>
      <c r="C1630" s="86"/>
      <c r="D1630" s="86"/>
      <c r="E1630" s="86"/>
      <c r="F1630" s="86"/>
    </row>
    <row r="1631" spans="1:6" x14ac:dyDescent="0.15">
      <c r="A1631" s="86"/>
      <c r="B1631" s="86"/>
      <c r="C1631" s="86"/>
      <c r="D1631" s="86"/>
      <c r="E1631" s="86"/>
      <c r="F1631" s="86"/>
    </row>
    <row r="1632" spans="1:6" x14ac:dyDescent="0.15">
      <c r="A1632" s="86"/>
      <c r="B1632" s="86"/>
      <c r="C1632" s="86"/>
      <c r="D1632" s="86"/>
      <c r="E1632" s="86"/>
      <c r="F1632" s="86"/>
    </row>
    <row r="1633" spans="1:6" x14ac:dyDescent="0.15">
      <c r="A1633" s="86"/>
      <c r="B1633" s="86"/>
      <c r="C1633" s="86"/>
      <c r="D1633" s="86"/>
      <c r="E1633" s="86"/>
      <c r="F1633" s="86"/>
    </row>
    <row r="1634" spans="1:6" x14ac:dyDescent="0.15">
      <c r="A1634" s="86"/>
      <c r="B1634" s="86"/>
      <c r="C1634" s="86"/>
      <c r="D1634" s="86"/>
      <c r="E1634" s="86"/>
      <c r="F1634" s="86"/>
    </row>
    <row r="1635" spans="1:6" x14ac:dyDescent="0.15">
      <c r="A1635" s="86"/>
      <c r="B1635" s="86"/>
      <c r="C1635" s="86"/>
      <c r="D1635" s="86"/>
      <c r="E1635" s="86"/>
      <c r="F1635" s="86"/>
    </row>
    <row r="1636" spans="1:6" x14ac:dyDescent="0.15">
      <c r="A1636" s="86"/>
      <c r="B1636" s="86"/>
      <c r="C1636" s="86"/>
      <c r="D1636" s="86"/>
      <c r="E1636" s="86"/>
      <c r="F1636" s="86"/>
    </row>
    <row r="1637" spans="1:6" x14ac:dyDescent="0.15">
      <c r="A1637" s="86"/>
      <c r="B1637" s="86"/>
      <c r="C1637" s="86"/>
      <c r="D1637" s="86"/>
      <c r="E1637" s="86"/>
      <c r="F1637" s="86"/>
    </row>
    <row r="1638" spans="1:6" x14ac:dyDescent="0.15">
      <c r="A1638" s="86"/>
      <c r="B1638" s="86"/>
      <c r="C1638" s="86"/>
      <c r="D1638" s="86"/>
      <c r="E1638" s="86"/>
      <c r="F1638" s="86"/>
    </row>
    <row r="1639" spans="1:6" x14ac:dyDescent="0.15">
      <c r="A1639" s="86"/>
      <c r="B1639" s="86"/>
      <c r="C1639" s="86"/>
      <c r="D1639" s="86"/>
      <c r="E1639" s="86"/>
      <c r="F1639" s="86"/>
    </row>
    <row r="1640" spans="1:6" x14ac:dyDescent="0.15">
      <c r="A1640" s="86"/>
      <c r="B1640" s="86"/>
      <c r="C1640" s="86"/>
      <c r="D1640" s="86"/>
      <c r="E1640" s="86"/>
      <c r="F1640" s="86"/>
    </row>
    <row r="1641" spans="1:6" x14ac:dyDescent="0.15">
      <c r="A1641" s="86"/>
      <c r="B1641" s="86"/>
      <c r="C1641" s="86"/>
      <c r="D1641" s="86"/>
      <c r="E1641" s="86"/>
      <c r="F1641" s="86"/>
    </row>
    <row r="1642" spans="1:6" x14ac:dyDescent="0.15">
      <c r="A1642" s="86"/>
      <c r="B1642" s="86"/>
      <c r="C1642" s="86"/>
      <c r="D1642" s="86"/>
      <c r="E1642" s="86"/>
      <c r="F1642" s="86"/>
    </row>
    <row r="1643" spans="1:6" x14ac:dyDescent="0.15">
      <c r="A1643" s="86"/>
      <c r="B1643" s="86"/>
      <c r="C1643" s="86"/>
      <c r="D1643" s="86"/>
      <c r="E1643" s="86"/>
      <c r="F1643" s="86"/>
    </row>
    <row r="1644" spans="1:6" x14ac:dyDescent="0.15">
      <c r="A1644" s="86"/>
      <c r="B1644" s="86"/>
      <c r="C1644" s="86"/>
      <c r="D1644" s="86"/>
      <c r="E1644" s="86"/>
      <c r="F1644" s="86"/>
    </row>
    <row r="1645" spans="1:6" x14ac:dyDescent="0.15">
      <c r="A1645" s="86"/>
      <c r="B1645" s="86"/>
      <c r="C1645" s="86"/>
      <c r="D1645" s="86"/>
      <c r="E1645" s="86"/>
      <c r="F1645" s="86"/>
    </row>
    <row r="1646" spans="1:6" x14ac:dyDescent="0.15">
      <c r="A1646" s="86"/>
      <c r="B1646" s="86"/>
      <c r="C1646" s="86"/>
      <c r="D1646" s="86"/>
      <c r="E1646" s="86"/>
      <c r="F1646" s="86"/>
    </row>
    <row r="1647" spans="1:6" x14ac:dyDescent="0.15">
      <c r="A1647" s="86"/>
      <c r="B1647" s="86"/>
      <c r="C1647" s="86"/>
      <c r="D1647" s="86"/>
      <c r="E1647" s="86"/>
      <c r="F1647" s="86"/>
    </row>
    <row r="1648" spans="1:6" x14ac:dyDescent="0.15">
      <c r="A1648" s="86"/>
      <c r="B1648" s="86"/>
      <c r="C1648" s="86"/>
      <c r="D1648" s="86"/>
      <c r="E1648" s="86"/>
      <c r="F1648" s="86"/>
    </row>
    <row r="1649" spans="1:6" x14ac:dyDescent="0.15">
      <c r="A1649" s="86"/>
      <c r="B1649" s="86"/>
      <c r="C1649" s="86"/>
      <c r="D1649" s="86"/>
      <c r="E1649" s="86"/>
      <c r="F1649" s="86"/>
    </row>
    <row r="1650" spans="1:6" x14ac:dyDescent="0.15">
      <c r="A1650" s="86"/>
      <c r="B1650" s="86"/>
      <c r="C1650" s="86"/>
      <c r="D1650" s="86"/>
      <c r="E1650" s="86"/>
      <c r="F1650" s="86"/>
    </row>
    <row r="1651" spans="1:6" x14ac:dyDescent="0.15">
      <c r="A1651" s="86"/>
      <c r="B1651" s="86"/>
      <c r="C1651" s="86"/>
      <c r="D1651" s="86"/>
      <c r="E1651" s="86"/>
      <c r="F1651" s="86"/>
    </row>
    <row r="1652" spans="1:6" x14ac:dyDescent="0.15">
      <c r="A1652" s="86"/>
      <c r="B1652" s="86"/>
      <c r="C1652" s="86"/>
      <c r="D1652" s="86"/>
      <c r="E1652" s="86"/>
      <c r="F1652" s="86"/>
    </row>
    <row r="1653" spans="1:6" x14ac:dyDescent="0.15">
      <c r="A1653" s="86"/>
      <c r="B1653" s="86"/>
      <c r="C1653" s="86"/>
      <c r="D1653" s="86"/>
      <c r="E1653" s="86"/>
      <c r="F1653" s="86"/>
    </row>
    <row r="1654" spans="1:6" x14ac:dyDescent="0.15">
      <c r="A1654" s="86"/>
      <c r="B1654" s="86"/>
      <c r="C1654" s="86"/>
      <c r="D1654" s="86"/>
      <c r="E1654" s="86"/>
      <c r="F1654" s="86"/>
    </row>
    <row r="1655" spans="1:6" x14ac:dyDescent="0.15">
      <c r="A1655" s="86"/>
      <c r="B1655" s="86"/>
      <c r="C1655" s="86"/>
      <c r="D1655" s="86"/>
      <c r="E1655" s="86"/>
      <c r="F1655" s="86"/>
    </row>
    <row r="1656" spans="1:6" x14ac:dyDescent="0.15">
      <c r="A1656" s="86"/>
      <c r="B1656" s="86"/>
      <c r="C1656" s="86"/>
      <c r="D1656" s="86"/>
      <c r="E1656" s="86"/>
      <c r="F1656" s="86"/>
    </row>
    <row r="1657" spans="1:6" x14ac:dyDescent="0.15">
      <c r="A1657" s="86"/>
      <c r="B1657" s="86"/>
      <c r="C1657" s="86"/>
      <c r="D1657" s="86"/>
      <c r="E1657" s="86"/>
      <c r="F1657" s="86"/>
    </row>
    <row r="1658" spans="1:6" x14ac:dyDescent="0.15">
      <c r="A1658" s="86"/>
      <c r="B1658" s="86"/>
      <c r="C1658" s="86"/>
      <c r="D1658" s="86"/>
      <c r="E1658" s="86"/>
      <c r="F1658" s="86"/>
    </row>
    <row r="1659" spans="1:6" x14ac:dyDescent="0.15">
      <c r="A1659" s="86"/>
      <c r="B1659" s="86"/>
      <c r="C1659" s="86"/>
      <c r="D1659" s="86"/>
      <c r="E1659" s="86"/>
      <c r="F1659" s="86"/>
    </row>
    <row r="1660" spans="1:6" x14ac:dyDescent="0.15">
      <c r="A1660" s="86"/>
      <c r="B1660" s="86"/>
      <c r="C1660" s="86"/>
      <c r="D1660" s="86"/>
      <c r="E1660" s="86"/>
      <c r="F1660" s="86"/>
    </row>
    <row r="1661" spans="1:6" x14ac:dyDescent="0.15">
      <c r="A1661" s="86"/>
      <c r="B1661" s="86"/>
      <c r="C1661" s="86"/>
      <c r="D1661" s="86"/>
      <c r="E1661" s="86"/>
      <c r="F1661" s="86"/>
    </row>
    <row r="1662" spans="1:6" x14ac:dyDescent="0.15">
      <c r="A1662" s="86"/>
      <c r="B1662" s="86"/>
      <c r="C1662" s="86"/>
      <c r="D1662" s="86"/>
      <c r="E1662" s="86"/>
      <c r="F1662" s="86"/>
    </row>
    <row r="1663" spans="1:6" x14ac:dyDescent="0.15">
      <c r="A1663" s="86"/>
      <c r="B1663" s="86"/>
      <c r="C1663" s="86"/>
      <c r="D1663" s="86"/>
      <c r="E1663" s="86"/>
      <c r="F1663" s="86"/>
    </row>
    <row r="1664" spans="1:6" x14ac:dyDescent="0.15">
      <c r="A1664" s="86"/>
      <c r="B1664" s="86"/>
      <c r="C1664" s="86"/>
      <c r="D1664" s="86"/>
      <c r="E1664" s="86"/>
      <c r="F1664" s="86"/>
    </row>
    <row r="1665" spans="1:6" x14ac:dyDescent="0.15">
      <c r="A1665" s="86"/>
      <c r="B1665" s="86"/>
      <c r="C1665" s="86"/>
      <c r="D1665" s="86"/>
      <c r="E1665" s="86"/>
      <c r="F1665" s="86"/>
    </row>
    <row r="1666" spans="1:6" x14ac:dyDescent="0.15">
      <c r="A1666" s="86"/>
      <c r="B1666" s="86"/>
      <c r="C1666" s="86"/>
      <c r="D1666" s="86"/>
      <c r="E1666" s="86"/>
      <c r="F1666" s="86"/>
    </row>
    <row r="1667" spans="1:6" x14ac:dyDescent="0.15">
      <c r="A1667" s="86"/>
      <c r="B1667" s="86"/>
      <c r="C1667" s="86"/>
      <c r="D1667" s="86"/>
      <c r="E1667" s="86"/>
      <c r="F1667" s="86"/>
    </row>
    <row r="1668" spans="1:6" x14ac:dyDescent="0.15">
      <c r="A1668" s="86"/>
      <c r="B1668" s="86"/>
      <c r="C1668" s="86"/>
      <c r="D1668" s="86"/>
      <c r="E1668" s="86"/>
      <c r="F1668" s="86"/>
    </row>
    <row r="1669" spans="1:6" x14ac:dyDescent="0.15">
      <c r="A1669" s="86"/>
      <c r="B1669" s="86"/>
      <c r="C1669" s="86"/>
      <c r="D1669" s="86"/>
      <c r="E1669" s="86"/>
      <c r="F1669" s="86"/>
    </row>
    <row r="1670" spans="1:6" x14ac:dyDescent="0.15">
      <c r="A1670" s="86"/>
      <c r="B1670" s="86"/>
      <c r="C1670" s="86"/>
      <c r="D1670" s="86"/>
      <c r="E1670" s="86"/>
      <c r="F1670" s="86"/>
    </row>
    <row r="1671" spans="1:6" x14ac:dyDescent="0.15">
      <c r="A1671" s="86"/>
      <c r="B1671" s="86"/>
      <c r="C1671" s="86"/>
      <c r="D1671" s="86"/>
      <c r="E1671" s="86"/>
      <c r="F1671" s="86"/>
    </row>
    <row r="1672" spans="1:6" x14ac:dyDescent="0.15">
      <c r="A1672" s="86"/>
      <c r="B1672" s="86"/>
      <c r="C1672" s="86"/>
      <c r="D1672" s="86"/>
      <c r="E1672" s="86"/>
      <c r="F1672" s="86"/>
    </row>
    <row r="1673" spans="1:6" x14ac:dyDescent="0.15">
      <c r="A1673" s="86"/>
      <c r="B1673" s="86"/>
      <c r="C1673" s="86"/>
      <c r="D1673" s="86"/>
      <c r="E1673" s="86"/>
      <c r="F1673" s="86"/>
    </row>
    <row r="1674" spans="1:6" x14ac:dyDescent="0.15">
      <c r="A1674" s="86"/>
      <c r="B1674" s="86"/>
      <c r="C1674" s="86"/>
      <c r="D1674" s="86"/>
      <c r="E1674" s="86"/>
      <c r="F1674" s="86"/>
    </row>
    <row r="1675" spans="1:6" x14ac:dyDescent="0.15">
      <c r="A1675" s="86"/>
      <c r="B1675" s="86"/>
      <c r="C1675" s="86"/>
      <c r="D1675" s="86"/>
      <c r="E1675" s="86"/>
      <c r="F1675" s="86"/>
    </row>
    <row r="1676" spans="1:6" x14ac:dyDescent="0.15">
      <c r="A1676" s="86"/>
      <c r="B1676" s="86"/>
      <c r="C1676" s="86"/>
      <c r="D1676" s="86"/>
      <c r="E1676" s="86"/>
      <c r="F1676" s="86"/>
    </row>
    <row r="1677" spans="1:6" x14ac:dyDescent="0.15">
      <c r="A1677" s="86"/>
      <c r="B1677" s="86"/>
      <c r="C1677" s="86"/>
      <c r="D1677" s="86"/>
      <c r="E1677" s="86"/>
      <c r="F1677" s="86"/>
    </row>
    <row r="1678" spans="1:6" x14ac:dyDescent="0.15">
      <c r="A1678" s="86"/>
      <c r="B1678" s="86"/>
      <c r="C1678" s="86"/>
      <c r="D1678" s="86"/>
      <c r="E1678" s="86"/>
      <c r="F1678" s="86"/>
    </row>
    <row r="1679" spans="1:6" x14ac:dyDescent="0.15">
      <c r="A1679" s="86"/>
      <c r="B1679" s="86"/>
      <c r="C1679" s="86"/>
      <c r="D1679" s="86"/>
      <c r="E1679" s="86"/>
      <c r="F1679" s="86"/>
    </row>
    <row r="1680" spans="1:6" x14ac:dyDescent="0.15">
      <c r="A1680" s="86"/>
      <c r="B1680" s="86"/>
      <c r="C1680" s="86"/>
      <c r="D1680" s="86"/>
      <c r="E1680" s="86"/>
      <c r="F1680" s="86"/>
    </row>
    <row r="1681" spans="1:6" x14ac:dyDescent="0.15">
      <c r="A1681" s="86"/>
      <c r="B1681" s="86"/>
      <c r="C1681" s="86"/>
      <c r="D1681" s="86"/>
      <c r="E1681" s="86"/>
      <c r="F1681" s="86"/>
    </row>
    <row r="1682" spans="1:6" x14ac:dyDescent="0.15">
      <c r="A1682" s="86"/>
      <c r="B1682" s="86"/>
      <c r="C1682" s="86"/>
      <c r="D1682" s="86"/>
      <c r="E1682" s="86"/>
      <c r="F1682" s="86"/>
    </row>
    <row r="1683" spans="1:6" x14ac:dyDescent="0.15">
      <c r="A1683" s="86"/>
      <c r="B1683" s="86"/>
      <c r="C1683" s="86"/>
      <c r="D1683" s="86"/>
      <c r="E1683" s="86"/>
      <c r="F1683" s="86"/>
    </row>
    <row r="1684" spans="1:6" x14ac:dyDescent="0.15">
      <c r="A1684" s="86"/>
      <c r="B1684" s="86"/>
      <c r="C1684" s="86"/>
      <c r="D1684" s="86"/>
      <c r="E1684" s="86"/>
      <c r="F1684" s="86"/>
    </row>
    <row r="1685" spans="1:6" x14ac:dyDescent="0.15">
      <c r="A1685" s="86"/>
      <c r="B1685" s="86"/>
      <c r="C1685" s="86"/>
      <c r="D1685" s="86"/>
      <c r="E1685" s="86"/>
      <c r="F1685" s="86"/>
    </row>
    <row r="1686" spans="1:6" x14ac:dyDescent="0.15">
      <c r="A1686" s="86"/>
      <c r="B1686" s="86"/>
      <c r="C1686" s="86"/>
      <c r="D1686" s="86"/>
      <c r="E1686" s="86"/>
      <c r="F1686" s="86"/>
    </row>
    <row r="1687" spans="1:6" x14ac:dyDescent="0.15">
      <c r="A1687" s="86"/>
      <c r="B1687" s="86"/>
      <c r="C1687" s="86"/>
      <c r="D1687" s="86"/>
      <c r="E1687" s="86"/>
      <c r="F1687" s="86"/>
    </row>
    <row r="1688" spans="1:6" x14ac:dyDescent="0.15">
      <c r="A1688" s="86"/>
      <c r="B1688" s="86"/>
      <c r="C1688" s="86"/>
      <c r="D1688" s="86"/>
      <c r="E1688" s="86"/>
      <c r="F1688" s="86"/>
    </row>
    <row r="1689" spans="1:6" x14ac:dyDescent="0.15">
      <c r="A1689" s="86"/>
      <c r="B1689" s="86"/>
      <c r="C1689" s="86"/>
      <c r="D1689" s="86"/>
      <c r="E1689" s="86"/>
      <c r="F1689" s="86"/>
    </row>
    <row r="1690" spans="1:6" x14ac:dyDescent="0.15">
      <c r="A1690" s="86"/>
      <c r="B1690" s="86"/>
      <c r="C1690" s="86"/>
      <c r="D1690" s="86"/>
      <c r="E1690" s="86"/>
      <c r="F1690" s="86"/>
    </row>
    <row r="1691" spans="1:6" x14ac:dyDescent="0.15">
      <c r="A1691" s="86"/>
      <c r="B1691" s="86"/>
      <c r="C1691" s="86"/>
      <c r="D1691" s="86"/>
      <c r="E1691" s="86"/>
      <c r="F1691" s="86"/>
    </row>
    <row r="1692" spans="1:6" x14ac:dyDescent="0.15">
      <c r="A1692" s="86"/>
      <c r="B1692" s="86"/>
      <c r="C1692" s="86"/>
      <c r="D1692" s="86"/>
      <c r="E1692" s="86"/>
      <c r="F1692" s="86"/>
    </row>
    <row r="1693" spans="1:6" x14ac:dyDescent="0.15">
      <c r="A1693" s="86"/>
      <c r="B1693" s="86"/>
      <c r="C1693" s="86"/>
      <c r="D1693" s="86"/>
      <c r="E1693" s="86"/>
      <c r="F1693" s="86"/>
    </row>
    <row r="1694" spans="1:6" x14ac:dyDescent="0.15">
      <c r="A1694" s="86"/>
      <c r="B1694" s="86"/>
      <c r="C1694" s="86"/>
      <c r="D1694" s="86"/>
      <c r="E1694" s="86"/>
      <c r="F1694" s="86"/>
    </row>
    <row r="1695" spans="1:6" x14ac:dyDescent="0.15">
      <c r="A1695" s="86"/>
      <c r="B1695" s="86"/>
      <c r="C1695" s="86"/>
      <c r="D1695" s="86"/>
      <c r="E1695" s="86"/>
      <c r="F1695" s="86"/>
    </row>
    <row r="1696" spans="1:6" x14ac:dyDescent="0.15">
      <c r="A1696" s="86"/>
      <c r="B1696" s="86"/>
      <c r="C1696" s="86"/>
      <c r="D1696" s="86"/>
      <c r="E1696" s="86"/>
      <c r="F1696" s="86"/>
    </row>
    <row r="1697" spans="1:6" x14ac:dyDescent="0.15">
      <c r="A1697" s="86"/>
      <c r="B1697" s="86"/>
      <c r="C1697" s="86"/>
      <c r="D1697" s="86"/>
      <c r="E1697" s="86"/>
      <c r="F1697" s="86"/>
    </row>
    <row r="1698" spans="1:6" x14ac:dyDescent="0.15">
      <c r="A1698" s="86"/>
      <c r="B1698" s="86"/>
      <c r="C1698" s="86"/>
      <c r="D1698" s="86"/>
      <c r="E1698" s="86"/>
      <c r="F1698" s="86"/>
    </row>
    <row r="1699" spans="1:6" x14ac:dyDescent="0.15">
      <c r="A1699" s="86"/>
      <c r="B1699" s="86"/>
      <c r="C1699" s="86"/>
      <c r="D1699" s="86"/>
      <c r="E1699" s="86"/>
      <c r="F1699" s="86"/>
    </row>
    <row r="1700" spans="1:6" x14ac:dyDescent="0.15">
      <c r="A1700" s="86"/>
      <c r="B1700" s="86"/>
      <c r="C1700" s="86"/>
      <c r="D1700" s="86"/>
      <c r="E1700" s="86"/>
      <c r="F1700" s="86"/>
    </row>
    <row r="1701" spans="1:6" x14ac:dyDescent="0.15">
      <c r="A1701" s="86"/>
      <c r="B1701" s="86"/>
      <c r="C1701" s="86"/>
      <c r="D1701" s="86"/>
      <c r="E1701" s="86"/>
      <c r="F1701" s="86"/>
    </row>
    <row r="1702" spans="1:6" x14ac:dyDescent="0.15">
      <c r="A1702" s="86"/>
      <c r="B1702" s="86"/>
      <c r="C1702" s="86"/>
      <c r="D1702" s="86"/>
      <c r="E1702" s="86"/>
      <c r="F1702" s="86"/>
    </row>
    <row r="1703" spans="1:6" x14ac:dyDescent="0.15">
      <c r="A1703" s="86"/>
      <c r="B1703" s="86"/>
      <c r="C1703" s="86"/>
      <c r="D1703" s="86"/>
      <c r="E1703" s="86"/>
      <c r="F1703" s="86"/>
    </row>
    <row r="1704" spans="1:6" x14ac:dyDescent="0.15">
      <c r="A1704" s="86"/>
      <c r="B1704" s="86"/>
      <c r="C1704" s="86"/>
      <c r="D1704" s="86"/>
      <c r="E1704" s="86"/>
      <c r="F1704" s="86"/>
    </row>
    <row r="1705" spans="1:6" x14ac:dyDescent="0.15">
      <c r="A1705" s="86"/>
      <c r="B1705" s="86"/>
      <c r="C1705" s="86"/>
      <c r="D1705" s="86"/>
      <c r="E1705" s="86"/>
      <c r="F1705" s="86"/>
    </row>
    <row r="1706" spans="1:6" x14ac:dyDescent="0.15">
      <c r="A1706" s="86"/>
      <c r="B1706" s="86"/>
      <c r="C1706" s="86"/>
      <c r="D1706" s="86"/>
      <c r="E1706" s="86"/>
      <c r="F1706" s="86"/>
    </row>
    <row r="1707" spans="1:6" x14ac:dyDescent="0.15">
      <c r="A1707" s="86"/>
      <c r="B1707" s="86"/>
      <c r="C1707" s="86"/>
      <c r="D1707" s="86"/>
      <c r="E1707" s="86"/>
      <c r="F1707" s="86"/>
    </row>
    <row r="1708" spans="1:6" x14ac:dyDescent="0.15">
      <c r="A1708" s="86"/>
      <c r="B1708" s="86"/>
      <c r="C1708" s="86"/>
      <c r="D1708" s="86"/>
      <c r="E1708" s="86"/>
      <c r="F1708" s="86"/>
    </row>
    <row r="1709" spans="1:6" x14ac:dyDescent="0.15">
      <c r="A1709" s="86"/>
      <c r="B1709" s="86"/>
      <c r="C1709" s="86"/>
      <c r="D1709" s="86"/>
      <c r="E1709" s="86"/>
      <c r="F1709" s="86"/>
    </row>
    <row r="1710" spans="1:6" x14ac:dyDescent="0.15">
      <c r="A1710" s="86"/>
      <c r="B1710" s="86"/>
      <c r="C1710" s="86"/>
      <c r="D1710" s="86"/>
      <c r="E1710" s="86"/>
      <c r="F1710" s="86"/>
    </row>
    <row r="1711" spans="1:6" x14ac:dyDescent="0.15">
      <c r="A1711" s="86"/>
      <c r="B1711" s="86"/>
      <c r="C1711" s="86"/>
      <c r="D1711" s="86"/>
      <c r="E1711" s="86"/>
      <c r="F1711" s="86"/>
    </row>
    <row r="1712" spans="1:6" x14ac:dyDescent="0.15">
      <c r="A1712" s="86"/>
      <c r="B1712" s="86"/>
      <c r="C1712" s="86"/>
      <c r="D1712" s="86"/>
      <c r="E1712" s="86"/>
      <c r="F1712" s="86"/>
    </row>
    <row r="1713" spans="1:6" x14ac:dyDescent="0.15">
      <c r="A1713" s="86"/>
      <c r="B1713" s="86"/>
      <c r="C1713" s="86"/>
      <c r="D1713" s="86"/>
      <c r="E1713" s="86"/>
      <c r="F1713" s="86"/>
    </row>
    <row r="1714" spans="1:6" x14ac:dyDescent="0.15">
      <c r="A1714" s="86"/>
      <c r="B1714" s="86"/>
      <c r="C1714" s="86"/>
      <c r="D1714" s="86"/>
      <c r="E1714" s="86"/>
      <c r="F1714" s="86"/>
    </row>
    <row r="1715" spans="1:6" x14ac:dyDescent="0.15">
      <c r="A1715" s="86"/>
      <c r="B1715" s="86"/>
      <c r="C1715" s="86"/>
      <c r="D1715" s="86"/>
      <c r="E1715" s="86"/>
      <c r="F1715" s="86"/>
    </row>
    <row r="1716" spans="1:6" x14ac:dyDescent="0.15">
      <c r="A1716" s="86"/>
      <c r="B1716" s="86"/>
      <c r="C1716" s="86"/>
      <c r="D1716" s="86"/>
      <c r="E1716" s="86"/>
      <c r="F1716" s="86"/>
    </row>
    <row r="1717" spans="1:6" x14ac:dyDescent="0.15">
      <c r="A1717" s="86"/>
      <c r="B1717" s="86"/>
      <c r="C1717" s="86"/>
      <c r="D1717" s="86"/>
      <c r="E1717" s="86"/>
      <c r="F1717" s="86"/>
    </row>
    <row r="1718" spans="1:6" x14ac:dyDescent="0.15">
      <c r="A1718" s="86"/>
      <c r="B1718" s="86"/>
      <c r="C1718" s="86"/>
      <c r="D1718" s="86"/>
      <c r="E1718" s="86"/>
      <c r="F1718" s="86"/>
    </row>
    <row r="1719" spans="1:6" x14ac:dyDescent="0.15">
      <c r="A1719" s="86"/>
      <c r="B1719" s="86"/>
      <c r="C1719" s="86"/>
      <c r="D1719" s="86"/>
      <c r="E1719" s="86"/>
      <c r="F1719" s="86"/>
    </row>
    <row r="1720" spans="1:6" x14ac:dyDescent="0.15">
      <c r="A1720" s="86"/>
      <c r="B1720" s="86"/>
      <c r="C1720" s="86"/>
      <c r="D1720" s="86"/>
      <c r="E1720" s="86"/>
      <c r="F1720" s="86"/>
    </row>
    <row r="1721" spans="1:6" x14ac:dyDescent="0.15">
      <c r="A1721" s="86"/>
      <c r="B1721" s="86"/>
      <c r="C1721" s="86"/>
      <c r="D1721" s="86"/>
      <c r="E1721" s="86"/>
      <c r="F1721" s="86"/>
    </row>
    <row r="1722" spans="1:6" x14ac:dyDescent="0.15">
      <c r="A1722" s="86"/>
      <c r="B1722" s="86"/>
      <c r="C1722" s="86"/>
      <c r="D1722" s="86"/>
      <c r="E1722" s="86"/>
      <c r="F1722" s="86"/>
    </row>
    <row r="1723" spans="1:6" x14ac:dyDescent="0.15">
      <c r="A1723" s="86"/>
      <c r="B1723" s="86"/>
      <c r="C1723" s="86"/>
      <c r="D1723" s="86"/>
      <c r="E1723" s="86"/>
      <c r="F1723" s="86"/>
    </row>
    <row r="1724" spans="1:6" x14ac:dyDescent="0.15">
      <c r="A1724" s="86"/>
      <c r="B1724" s="86"/>
      <c r="C1724" s="86"/>
      <c r="D1724" s="86"/>
      <c r="E1724" s="86"/>
      <c r="F1724" s="86"/>
    </row>
    <row r="1725" spans="1:6" x14ac:dyDescent="0.15">
      <c r="A1725" s="86"/>
      <c r="B1725" s="86"/>
      <c r="C1725" s="86"/>
      <c r="D1725" s="86"/>
      <c r="E1725" s="86"/>
      <c r="F1725" s="86"/>
    </row>
    <row r="1726" spans="1:6" x14ac:dyDescent="0.15">
      <c r="A1726" s="86"/>
      <c r="B1726" s="86"/>
      <c r="C1726" s="86"/>
      <c r="D1726" s="86"/>
      <c r="E1726" s="86"/>
      <c r="F1726" s="86"/>
    </row>
    <row r="1727" spans="1:6" x14ac:dyDescent="0.15">
      <c r="A1727" s="86"/>
      <c r="B1727" s="86"/>
      <c r="C1727" s="86"/>
      <c r="D1727" s="86"/>
      <c r="E1727" s="86"/>
      <c r="F1727" s="86"/>
    </row>
    <row r="1728" spans="1:6" x14ac:dyDescent="0.15">
      <c r="A1728" s="86"/>
      <c r="B1728" s="86"/>
      <c r="C1728" s="86"/>
      <c r="D1728" s="86"/>
      <c r="E1728" s="86"/>
      <c r="F1728" s="86"/>
    </row>
    <row r="1729" spans="1:6" x14ac:dyDescent="0.15">
      <c r="A1729" s="86"/>
      <c r="B1729" s="86"/>
      <c r="C1729" s="86"/>
      <c r="D1729" s="86"/>
      <c r="E1729" s="86"/>
      <c r="F1729" s="86"/>
    </row>
    <row r="1730" spans="1:6" x14ac:dyDescent="0.15">
      <c r="A1730" s="86"/>
      <c r="B1730" s="86"/>
      <c r="C1730" s="86"/>
      <c r="D1730" s="86"/>
      <c r="E1730" s="86"/>
      <c r="F1730" s="86"/>
    </row>
    <row r="1731" spans="1:6" x14ac:dyDescent="0.15">
      <c r="A1731" s="86"/>
      <c r="B1731" s="86"/>
      <c r="C1731" s="86"/>
      <c r="D1731" s="86"/>
      <c r="E1731" s="86"/>
      <c r="F1731" s="86"/>
    </row>
    <row r="1732" spans="1:6" x14ac:dyDescent="0.15">
      <c r="A1732" s="86"/>
      <c r="B1732" s="86"/>
      <c r="C1732" s="86"/>
      <c r="D1732" s="86"/>
      <c r="E1732" s="86"/>
      <c r="F1732" s="86"/>
    </row>
    <row r="1733" spans="1:6" x14ac:dyDescent="0.15">
      <c r="A1733" s="86"/>
      <c r="B1733" s="86"/>
      <c r="C1733" s="86"/>
      <c r="D1733" s="86"/>
      <c r="E1733" s="86"/>
      <c r="F1733" s="86"/>
    </row>
    <row r="1734" spans="1:6" x14ac:dyDescent="0.15">
      <c r="A1734" s="86"/>
      <c r="B1734" s="86"/>
      <c r="C1734" s="86"/>
      <c r="D1734" s="86"/>
      <c r="E1734" s="86"/>
      <c r="F1734" s="86"/>
    </row>
    <row r="1735" spans="1:6" x14ac:dyDescent="0.15">
      <c r="A1735" s="86"/>
      <c r="B1735" s="86"/>
      <c r="C1735" s="86"/>
      <c r="D1735" s="86"/>
      <c r="E1735" s="86"/>
      <c r="F1735" s="86"/>
    </row>
    <row r="1736" spans="1:6" x14ac:dyDescent="0.15">
      <c r="A1736" s="86"/>
      <c r="B1736" s="86"/>
      <c r="C1736" s="86"/>
      <c r="D1736" s="86"/>
      <c r="E1736" s="86"/>
      <c r="F1736" s="86"/>
    </row>
    <row r="1737" spans="1:6" x14ac:dyDescent="0.15">
      <c r="A1737" s="86"/>
      <c r="B1737" s="86"/>
      <c r="C1737" s="86"/>
      <c r="D1737" s="86"/>
      <c r="E1737" s="86"/>
      <c r="F1737" s="86"/>
    </row>
    <row r="1738" spans="1:6" x14ac:dyDescent="0.15">
      <c r="A1738" s="86"/>
      <c r="B1738" s="86"/>
      <c r="C1738" s="86"/>
      <c r="D1738" s="86"/>
      <c r="E1738" s="86"/>
      <c r="F1738" s="86"/>
    </row>
    <row r="1739" spans="1:6" x14ac:dyDescent="0.15">
      <c r="A1739" s="86"/>
      <c r="B1739" s="86"/>
      <c r="C1739" s="86"/>
      <c r="D1739" s="86"/>
      <c r="E1739" s="86"/>
      <c r="F1739" s="86"/>
    </row>
    <row r="1740" spans="1:6" x14ac:dyDescent="0.15">
      <c r="A1740" s="86"/>
      <c r="B1740" s="86"/>
      <c r="C1740" s="86"/>
      <c r="D1740" s="86"/>
      <c r="E1740" s="86"/>
      <c r="F1740" s="86"/>
    </row>
    <row r="1741" spans="1:6" x14ac:dyDescent="0.15">
      <c r="A1741" s="86"/>
      <c r="B1741" s="86"/>
      <c r="C1741" s="86"/>
      <c r="D1741" s="86"/>
      <c r="E1741" s="86"/>
      <c r="F1741" s="86"/>
    </row>
    <row r="1742" spans="1:6" x14ac:dyDescent="0.15">
      <c r="A1742" s="86"/>
      <c r="B1742" s="86"/>
      <c r="C1742" s="86"/>
      <c r="D1742" s="86"/>
      <c r="E1742" s="86"/>
      <c r="F1742" s="86"/>
    </row>
    <row r="1743" spans="1:6" x14ac:dyDescent="0.15">
      <c r="A1743" s="86"/>
      <c r="B1743" s="86"/>
      <c r="C1743" s="86"/>
      <c r="D1743" s="86"/>
      <c r="E1743" s="86"/>
      <c r="F1743" s="86"/>
    </row>
    <row r="1744" spans="1:6" x14ac:dyDescent="0.15">
      <c r="A1744" s="86"/>
      <c r="B1744" s="86"/>
      <c r="C1744" s="86"/>
      <c r="D1744" s="86"/>
      <c r="E1744" s="86"/>
      <c r="F1744" s="86"/>
    </row>
    <row r="1745" spans="1:6" x14ac:dyDescent="0.15">
      <c r="A1745" s="86"/>
      <c r="B1745" s="86"/>
      <c r="C1745" s="86"/>
      <c r="D1745" s="86"/>
      <c r="E1745" s="86"/>
      <c r="F1745" s="86"/>
    </row>
    <row r="1746" spans="1:6" x14ac:dyDescent="0.15">
      <c r="A1746" s="86"/>
      <c r="B1746" s="86"/>
      <c r="C1746" s="86"/>
      <c r="D1746" s="86"/>
      <c r="E1746" s="86"/>
      <c r="F1746" s="86"/>
    </row>
    <row r="1747" spans="1:6" x14ac:dyDescent="0.15">
      <c r="A1747" s="86"/>
      <c r="B1747" s="86"/>
      <c r="C1747" s="86"/>
      <c r="D1747" s="86"/>
      <c r="E1747" s="86"/>
      <c r="F1747" s="86"/>
    </row>
    <row r="1748" spans="1:6" x14ac:dyDescent="0.15">
      <c r="A1748" s="86"/>
      <c r="B1748" s="86"/>
      <c r="C1748" s="86"/>
      <c r="D1748" s="86"/>
      <c r="E1748" s="86"/>
      <c r="F1748" s="86"/>
    </row>
    <row r="1749" spans="1:6" x14ac:dyDescent="0.15">
      <c r="A1749" s="86"/>
      <c r="B1749" s="86"/>
      <c r="C1749" s="86"/>
      <c r="D1749" s="86"/>
      <c r="E1749" s="86"/>
      <c r="F1749" s="86"/>
    </row>
    <row r="1750" spans="1:6" x14ac:dyDescent="0.15">
      <c r="A1750" s="86"/>
      <c r="B1750" s="86"/>
      <c r="C1750" s="86"/>
      <c r="D1750" s="86"/>
      <c r="E1750" s="86"/>
      <c r="F1750" s="86"/>
    </row>
    <row r="1751" spans="1:6" x14ac:dyDescent="0.15">
      <c r="A1751" s="86"/>
      <c r="B1751" s="86"/>
      <c r="C1751" s="86"/>
      <c r="D1751" s="86"/>
      <c r="E1751" s="86"/>
      <c r="F1751" s="86"/>
    </row>
    <row r="1752" spans="1:6" x14ac:dyDescent="0.15">
      <c r="A1752" s="86"/>
      <c r="B1752" s="86"/>
      <c r="C1752" s="86"/>
      <c r="D1752" s="86"/>
      <c r="E1752" s="86"/>
      <c r="F1752" s="86"/>
    </row>
    <row r="1753" spans="1:6" x14ac:dyDescent="0.15">
      <c r="A1753" s="86"/>
      <c r="B1753" s="86"/>
      <c r="C1753" s="86"/>
      <c r="D1753" s="86"/>
      <c r="E1753" s="86"/>
      <c r="F1753" s="86"/>
    </row>
    <row r="1754" spans="1:6" x14ac:dyDescent="0.15">
      <c r="A1754" s="86"/>
      <c r="B1754" s="86"/>
      <c r="C1754" s="86"/>
      <c r="D1754" s="86"/>
      <c r="E1754" s="86"/>
      <c r="F1754" s="86"/>
    </row>
    <row r="1755" spans="1:6" x14ac:dyDescent="0.15">
      <c r="A1755" s="86"/>
      <c r="B1755" s="86"/>
      <c r="C1755" s="86"/>
      <c r="D1755" s="86"/>
      <c r="E1755" s="86"/>
      <c r="F1755" s="86"/>
    </row>
    <row r="1756" spans="1:6" x14ac:dyDescent="0.15">
      <c r="A1756" s="86"/>
      <c r="B1756" s="86"/>
      <c r="C1756" s="86"/>
      <c r="D1756" s="86"/>
      <c r="E1756" s="86"/>
      <c r="F1756" s="86"/>
    </row>
    <row r="1757" spans="1:6" x14ac:dyDescent="0.15">
      <c r="A1757" s="86"/>
      <c r="B1757" s="86"/>
      <c r="C1757" s="86"/>
      <c r="D1757" s="86"/>
      <c r="E1757" s="86"/>
      <c r="F1757" s="86"/>
    </row>
    <row r="1758" spans="1:6" x14ac:dyDescent="0.15">
      <c r="A1758" s="86"/>
      <c r="B1758" s="86"/>
      <c r="C1758" s="86"/>
      <c r="D1758" s="86"/>
      <c r="E1758" s="86"/>
      <c r="F1758" s="86"/>
    </row>
    <row r="1759" spans="1:6" x14ac:dyDescent="0.15">
      <c r="A1759" s="86"/>
      <c r="B1759" s="86"/>
      <c r="C1759" s="86"/>
      <c r="D1759" s="86"/>
      <c r="E1759" s="86"/>
      <c r="F1759" s="86"/>
    </row>
    <row r="1760" spans="1:6" x14ac:dyDescent="0.15">
      <c r="A1760" s="86"/>
      <c r="B1760" s="86"/>
      <c r="C1760" s="86"/>
      <c r="D1760" s="86"/>
      <c r="E1760" s="86"/>
      <c r="F1760" s="86"/>
    </row>
    <row r="1761" spans="1:6" x14ac:dyDescent="0.15">
      <c r="A1761" s="86"/>
      <c r="B1761" s="86"/>
      <c r="C1761" s="86"/>
      <c r="D1761" s="86"/>
      <c r="E1761" s="86"/>
      <c r="F1761" s="86"/>
    </row>
    <row r="1762" spans="1:6" x14ac:dyDescent="0.15">
      <c r="A1762" s="86"/>
      <c r="B1762" s="86"/>
      <c r="C1762" s="86"/>
      <c r="D1762" s="86"/>
      <c r="E1762" s="86"/>
      <c r="F1762" s="86"/>
    </row>
    <row r="1763" spans="1:6" x14ac:dyDescent="0.15">
      <c r="A1763" s="86"/>
      <c r="B1763" s="86"/>
      <c r="C1763" s="86"/>
      <c r="D1763" s="86"/>
      <c r="E1763" s="86"/>
      <c r="F1763" s="86"/>
    </row>
    <row r="1764" spans="1:6" x14ac:dyDescent="0.15">
      <c r="A1764" s="86"/>
      <c r="B1764" s="86"/>
      <c r="C1764" s="86"/>
      <c r="D1764" s="86"/>
      <c r="E1764" s="86"/>
      <c r="F1764" s="86"/>
    </row>
    <row r="1765" spans="1:6" x14ac:dyDescent="0.15">
      <c r="A1765" s="86"/>
      <c r="B1765" s="86"/>
      <c r="C1765" s="86"/>
      <c r="D1765" s="86"/>
      <c r="E1765" s="86"/>
      <c r="F1765" s="86"/>
    </row>
    <row r="1766" spans="1:6" x14ac:dyDescent="0.15">
      <c r="A1766" s="86"/>
      <c r="B1766" s="86"/>
      <c r="C1766" s="86"/>
      <c r="D1766" s="86"/>
      <c r="E1766" s="86"/>
      <c r="F1766" s="86"/>
    </row>
    <row r="1767" spans="1:6" x14ac:dyDescent="0.15">
      <c r="A1767" s="86"/>
      <c r="B1767" s="86"/>
      <c r="C1767" s="86"/>
      <c r="D1767" s="86"/>
      <c r="E1767" s="86"/>
      <c r="F1767" s="86"/>
    </row>
    <row r="1768" spans="1:6" x14ac:dyDescent="0.15">
      <c r="A1768" s="86"/>
      <c r="B1768" s="86"/>
      <c r="C1768" s="86"/>
      <c r="D1768" s="86"/>
      <c r="E1768" s="86"/>
      <c r="F1768" s="86"/>
    </row>
    <row r="1769" spans="1:6" x14ac:dyDescent="0.15">
      <c r="A1769" s="86"/>
      <c r="B1769" s="86"/>
      <c r="C1769" s="86"/>
      <c r="D1769" s="86"/>
      <c r="E1769" s="86"/>
      <c r="F1769" s="86"/>
    </row>
    <row r="1770" spans="1:6" x14ac:dyDescent="0.15">
      <c r="A1770" s="86"/>
      <c r="B1770" s="86"/>
      <c r="C1770" s="86"/>
      <c r="D1770" s="86"/>
      <c r="E1770" s="86"/>
      <c r="F1770" s="86"/>
    </row>
    <row r="1771" spans="1:6" x14ac:dyDescent="0.15">
      <c r="A1771" s="86"/>
      <c r="B1771" s="86"/>
      <c r="C1771" s="86"/>
      <c r="D1771" s="86"/>
      <c r="E1771" s="86"/>
      <c r="F1771" s="86"/>
    </row>
    <row r="1772" spans="1:6" x14ac:dyDescent="0.15">
      <c r="A1772" s="86"/>
      <c r="B1772" s="86"/>
      <c r="C1772" s="86"/>
      <c r="D1772" s="86"/>
      <c r="E1772" s="86"/>
      <c r="F1772" s="86"/>
    </row>
    <row r="1773" spans="1:6" x14ac:dyDescent="0.15">
      <c r="A1773" s="86"/>
      <c r="B1773" s="86"/>
      <c r="C1773" s="86"/>
      <c r="D1773" s="86"/>
      <c r="E1773" s="86"/>
      <c r="F1773" s="86"/>
    </row>
    <row r="1774" spans="1:6" x14ac:dyDescent="0.15">
      <c r="A1774" s="86"/>
      <c r="B1774" s="86"/>
      <c r="C1774" s="86"/>
      <c r="D1774" s="86"/>
      <c r="E1774" s="86"/>
      <c r="F1774" s="86"/>
    </row>
    <row r="1775" spans="1:6" x14ac:dyDescent="0.15">
      <c r="A1775" s="86"/>
      <c r="B1775" s="86"/>
      <c r="C1775" s="86"/>
      <c r="D1775" s="86"/>
      <c r="E1775" s="86"/>
      <c r="F1775" s="86"/>
    </row>
    <row r="1776" spans="1:6" x14ac:dyDescent="0.15">
      <c r="A1776" s="86"/>
      <c r="B1776" s="86"/>
      <c r="C1776" s="86"/>
      <c r="D1776" s="86"/>
      <c r="E1776" s="86"/>
      <c r="F1776" s="86"/>
    </row>
    <row r="1777" spans="1:6" x14ac:dyDescent="0.15">
      <c r="A1777" s="86"/>
      <c r="B1777" s="86"/>
      <c r="C1777" s="86"/>
      <c r="D1777" s="86"/>
      <c r="E1777" s="86"/>
      <c r="F1777" s="86"/>
    </row>
    <row r="1778" spans="1:6" x14ac:dyDescent="0.15">
      <c r="A1778" s="86"/>
      <c r="B1778" s="86"/>
      <c r="C1778" s="86"/>
      <c r="D1778" s="86"/>
      <c r="E1778" s="86"/>
      <c r="F1778" s="86"/>
    </row>
    <row r="1779" spans="1:6" x14ac:dyDescent="0.15">
      <c r="A1779" s="86"/>
      <c r="B1779" s="86"/>
      <c r="C1779" s="86"/>
      <c r="D1779" s="86"/>
      <c r="E1779" s="86"/>
      <c r="F1779" s="86"/>
    </row>
    <row r="1780" spans="1:6" x14ac:dyDescent="0.15">
      <c r="A1780" s="86"/>
      <c r="B1780" s="86"/>
      <c r="C1780" s="86"/>
      <c r="D1780" s="86"/>
      <c r="E1780" s="86"/>
      <c r="F1780" s="86"/>
    </row>
    <row r="1781" spans="1:6" x14ac:dyDescent="0.15">
      <c r="A1781" s="86"/>
      <c r="B1781" s="86"/>
      <c r="C1781" s="86"/>
      <c r="D1781" s="86"/>
      <c r="E1781" s="86"/>
      <c r="F1781" s="86"/>
    </row>
    <row r="1782" spans="1:6" x14ac:dyDescent="0.15">
      <c r="A1782" s="86"/>
      <c r="B1782" s="86"/>
      <c r="C1782" s="86"/>
      <c r="D1782" s="86"/>
      <c r="E1782" s="86"/>
      <c r="F1782" s="86"/>
    </row>
    <row r="1783" spans="1:6" x14ac:dyDescent="0.15">
      <c r="A1783" s="86"/>
      <c r="B1783" s="86"/>
      <c r="C1783" s="86"/>
      <c r="D1783" s="86"/>
      <c r="E1783" s="86"/>
      <c r="F1783" s="86"/>
    </row>
    <row r="1784" spans="1:6" x14ac:dyDescent="0.15">
      <c r="A1784" s="86"/>
      <c r="B1784" s="86"/>
      <c r="C1784" s="86"/>
      <c r="D1784" s="86"/>
      <c r="E1784" s="86"/>
      <c r="F1784" s="86"/>
    </row>
    <row r="1785" spans="1:6" x14ac:dyDescent="0.15">
      <c r="A1785" s="86"/>
      <c r="B1785" s="86"/>
      <c r="C1785" s="86"/>
      <c r="D1785" s="86"/>
      <c r="E1785" s="86"/>
      <c r="F1785" s="86"/>
    </row>
    <row r="1786" spans="1:6" x14ac:dyDescent="0.15">
      <c r="A1786" s="86"/>
      <c r="B1786" s="86"/>
      <c r="C1786" s="86"/>
      <c r="D1786" s="86"/>
      <c r="E1786" s="86"/>
      <c r="F1786" s="86"/>
    </row>
    <row r="1787" spans="1:6" x14ac:dyDescent="0.15">
      <c r="A1787" s="86"/>
      <c r="B1787" s="86"/>
      <c r="C1787" s="86"/>
      <c r="D1787" s="86"/>
      <c r="E1787" s="86"/>
      <c r="F1787" s="86"/>
    </row>
    <row r="1788" spans="1:6" x14ac:dyDescent="0.15">
      <c r="A1788" s="86"/>
      <c r="B1788" s="86"/>
      <c r="C1788" s="86"/>
      <c r="D1788" s="86"/>
      <c r="E1788" s="86"/>
      <c r="F1788" s="86"/>
    </row>
    <row r="1789" spans="1:6" x14ac:dyDescent="0.15">
      <c r="A1789" s="86"/>
      <c r="B1789" s="86"/>
      <c r="C1789" s="86"/>
      <c r="D1789" s="86"/>
      <c r="E1789" s="86"/>
      <c r="F1789" s="86"/>
    </row>
    <row r="1790" spans="1:6" x14ac:dyDescent="0.15">
      <c r="A1790" s="86"/>
      <c r="B1790" s="86"/>
      <c r="C1790" s="86"/>
      <c r="D1790" s="86"/>
      <c r="E1790" s="86"/>
      <c r="F1790" s="86"/>
    </row>
    <row r="1791" spans="1:6" x14ac:dyDescent="0.15">
      <c r="A1791" s="86"/>
      <c r="B1791" s="86"/>
      <c r="C1791" s="86"/>
      <c r="D1791" s="86"/>
      <c r="E1791" s="86"/>
      <c r="F1791" s="86"/>
    </row>
    <row r="1792" spans="1:6" x14ac:dyDescent="0.15">
      <c r="A1792" s="86"/>
      <c r="B1792" s="86"/>
      <c r="C1792" s="86"/>
      <c r="D1792" s="86"/>
      <c r="E1792" s="86"/>
      <c r="F1792" s="86"/>
    </row>
    <row r="1793" spans="1:6" x14ac:dyDescent="0.15">
      <c r="A1793" s="86"/>
      <c r="B1793" s="86"/>
      <c r="C1793" s="86"/>
      <c r="D1793" s="86"/>
      <c r="E1793" s="86"/>
      <c r="F1793" s="86"/>
    </row>
    <row r="1794" spans="1:6" x14ac:dyDescent="0.15">
      <c r="A1794" s="86"/>
      <c r="B1794" s="86"/>
      <c r="C1794" s="86"/>
      <c r="D1794" s="86"/>
      <c r="E1794" s="86"/>
      <c r="F1794" s="86"/>
    </row>
    <row r="1795" spans="1:6" x14ac:dyDescent="0.15">
      <c r="A1795" s="86"/>
      <c r="B1795" s="86"/>
      <c r="C1795" s="86"/>
      <c r="D1795" s="86"/>
      <c r="E1795" s="86"/>
      <c r="F1795" s="86"/>
    </row>
    <row r="1796" spans="1:6" x14ac:dyDescent="0.15">
      <c r="A1796" s="86"/>
      <c r="B1796" s="86"/>
      <c r="C1796" s="86"/>
      <c r="D1796" s="86"/>
      <c r="E1796" s="86"/>
      <c r="F1796" s="86"/>
    </row>
    <row r="1797" spans="1:6" x14ac:dyDescent="0.15">
      <c r="A1797" s="86"/>
      <c r="B1797" s="86"/>
      <c r="C1797" s="86"/>
      <c r="D1797" s="86"/>
      <c r="E1797" s="86"/>
      <c r="F1797" s="86"/>
    </row>
    <row r="1798" spans="1:6" x14ac:dyDescent="0.15">
      <c r="A1798" s="86"/>
      <c r="B1798" s="86"/>
      <c r="C1798" s="86"/>
      <c r="D1798" s="86"/>
      <c r="E1798" s="86"/>
      <c r="F1798" s="86"/>
    </row>
    <row r="1799" spans="1:6" x14ac:dyDescent="0.15">
      <c r="A1799" s="86"/>
      <c r="B1799" s="86"/>
      <c r="C1799" s="86"/>
      <c r="D1799" s="86"/>
      <c r="E1799" s="86"/>
      <c r="F1799" s="86"/>
    </row>
    <row r="1800" spans="1:6" x14ac:dyDescent="0.15">
      <c r="A1800" s="86"/>
      <c r="B1800" s="86"/>
      <c r="C1800" s="86"/>
      <c r="D1800" s="86"/>
      <c r="E1800" s="86"/>
      <c r="F1800" s="86"/>
    </row>
    <row r="1801" spans="1:6" x14ac:dyDescent="0.15">
      <c r="A1801" s="86"/>
      <c r="B1801" s="86"/>
      <c r="C1801" s="86"/>
      <c r="D1801" s="86"/>
      <c r="E1801" s="86"/>
      <c r="F1801" s="86"/>
    </row>
    <row r="1802" spans="1:6" x14ac:dyDescent="0.15">
      <c r="A1802" s="86"/>
      <c r="B1802" s="86"/>
      <c r="C1802" s="86"/>
      <c r="D1802" s="86"/>
      <c r="E1802" s="86"/>
      <c r="F1802" s="86"/>
    </row>
    <row r="1803" spans="1:6" x14ac:dyDescent="0.15">
      <c r="A1803" s="86"/>
      <c r="B1803" s="86"/>
      <c r="C1803" s="86"/>
      <c r="D1803" s="86"/>
      <c r="E1803" s="86"/>
      <c r="F1803" s="86"/>
    </row>
    <row r="1804" spans="1:6" x14ac:dyDescent="0.15">
      <c r="A1804" s="86"/>
      <c r="B1804" s="86"/>
      <c r="C1804" s="86"/>
      <c r="D1804" s="86"/>
      <c r="E1804" s="86"/>
      <c r="F1804" s="86"/>
    </row>
    <row r="1805" spans="1:6" x14ac:dyDescent="0.15">
      <c r="A1805" s="86"/>
      <c r="B1805" s="86"/>
      <c r="C1805" s="86"/>
      <c r="D1805" s="86"/>
      <c r="E1805" s="86"/>
      <c r="F1805" s="86"/>
    </row>
    <row r="1806" spans="1:6" x14ac:dyDescent="0.15">
      <c r="A1806" s="86"/>
      <c r="B1806" s="86"/>
      <c r="C1806" s="86"/>
      <c r="D1806" s="86"/>
      <c r="E1806" s="86"/>
      <c r="F1806" s="86"/>
    </row>
    <row r="1807" spans="1:6" x14ac:dyDescent="0.15">
      <c r="A1807" s="86"/>
      <c r="B1807" s="86"/>
      <c r="C1807" s="86"/>
      <c r="D1807" s="86"/>
      <c r="E1807" s="86"/>
      <c r="F1807" s="86"/>
    </row>
    <row r="1808" spans="1:6" x14ac:dyDescent="0.15">
      <c r="A1808" s="86"/>
      <c r="B1808" s="86"/>
      <c r="C1808" s="86"/>
      <c r="D1808" s="86"/>
      <c r="E1808" s="86"/>
      <c r="F1808" s="86"/>
    </row>
    <row r="1809" spans="1:6" x14ac:dyDescent="0.15">
      <c r="A1809" s="86"/>
      <c r="B1809" s="86"/>
      <c r="C1809" s="86"/>
      <c r="D1809" s="86"/>
      <c r="E1809" s="86"/>
      <c r="F1809" s="86"/>
    </row>
    <row r="1810" spans="1:6" x14ac:dyDescent="0.15">
      <c r="A1810" s="86"/>
      <c r="B1810" s="86"/>
      <c r="C1810" s="86"/>
      <c r="D1810" s="86"/>
      <c r="E1810" s="86"/>
      <c r="F1810" s="86"/>
    </row>
    <row r="1811" spans="1:6" x14ac:dyDescent="0.15">
      <c r="A1811" s="86"/>
      <c r="B1811" s="86"/>
      <c r="C1811" s="86"/>
      <c r="D1811" s="86"/>
      <c r="E1811" s="86"/>
      <c r="F1811" s="86"/>
    </row>
    <row r="1812" spans="1:6" x14ac:dyDescent="0.15">
      <c r="A1812" s="86"/>
      <c r="B1812" s="86"/>
      <c r="C1812" s="86"/>
      <c r="D1812" s="86"/>
      <c r="E1812" s="86"/>
      <c r="F1812" s="86"/>
    </row>
    <row r="1813" spans="1:6" x14ac:dyDescent="0.15">
      <c r="A1813" s="86"/>
      <c r="B1813" s="86"/>
      <c r="C1813" s="86"/>
      <c r="D1813" s="86"/>
      <c r="E1813" s="86"/>
      <c r="F1813" s="86"/>
    </row>
    <row r="1814" spans="1:6" x14ac:dyDescent="0.15">
      <c r="A1814" s="86"/>
      <c r="B1814" s="86"/>
      <c r="C1814" s="86"/>
      <c r="D1814" s="86"/>
      <c r="E1814" s="86"/>
      <c r="F1814" s="86"/>
    </row>
    <row r="1815" spans="1:6" x14ac:dyDescent="0.15">
      <c r="A1815" s="86"/>
      <c r="B1815" s="86"/>
      <c r="C1815" s="86"/>
      <c r="D1815" s="86"/>
      <c r="E1815" s="86"/>
      <c r="F1815" s="86"/>
    </row>
    <row r="1816" spans="1:6" x14ac:dyDescent="0.15">
      <c r="A1816" s="86"/>
      <c r="B1816" s="86"/>
      <c r="C1816" s="86"/>
      <c r="D1816" s="86"/>
      <c r="E1816" s="86"/>
      <c r="F1816" s="86"/>
    </row>
    <row r="1817" spans="1:6" x14ac:dyDescent="0.15">
      <c r="A1817" s="86"/>
      <c r="B1817" s="86"/>
      <c r="C1817" s="86"/>
      <c r="D1817" s="86"/>
      <c r="E1817" s="86"/>
      <c r="F1817" s="86"/>
    </row>
    <row r="1818" spans="1:6" x14ac:dyDescent="0.15">
      <c r="A1818" s="86"/>
      <c r="B1818" s="86"/>
      <c r="C1818" s="86"/>
      <c r="D1818" s="86"/>
      <c r="E1818" s="86"/>
      <c r="F1818" s="86"/>
    </row>
    <row r="1819" spans="1:6" x14ac:dyDescent="0.15">
      <c r="A1819" s="86"/>
      <c r="B1819" s="86"/>
      <c r="C1819" s="86"/>
      <c r="D1819" s="86"/>
      <c r="E1819" s="86"/>
      <c r="F1819" s="86"/>
    </row>
    <row r="1820" spans="1:6" x14ac:dyDescent="0.15">
      <c r="A1820" s="86"/>
      <c r="B1820" s="86"/>
      <c r="C1820" s="86"/>
      <c r="D1820" s="86"/>
      <c r="E1820" s="86"/>
      <c r="F1820" s="86"/>
    </row>
    <row r="1821" spans="1:6" x14ac:dyDescent="0.15">
      <c r="A1821" s="86"/>
      <c r="B1821" s="86"/>
      <c r="C1821" s="86"/>
      <c r="D1821" s="86"/>
      <c r="E1821" s="86"/>
      <c r="F1821" s="86"/>
    </row>
    <row r="1822" spans="1:6" x14ac:dyDescent="0.15">
      <c r="A1822" s="86"/>
      <c r="B1822" s="86"/>
      <c r="C1822" s="86"/>
      <c r="D1822" s="86"/>
      <c r="E1822" s="86"/>
      <c r="F1822" s="86"/>
    </row>
    <row r="1823" spans="1:6" x14ac:dyDescent="0.15">
      <c r="A1823" s="86"/>
      <c r="B1823" s="86"/>
      <c r="C1823" s="86"/>
      <c r="D1823" s="86"/>
      <c r="E1823" s="86"/>
      <c r="F1823" s="86"/>
    </row>
    <row r="1824" spans="1:6" x14ac:dyDescent="0.15">
      <c r="A1824" s="86"/>
      <c r="B1824" s="86"/>
      <c r="C1824" s="86"/>
      <c r="D1824" s="86"/>
      <c r="E1824" s="86"/>
      <c r="F1824" s="86"/>
    </row>
    <row r="1825" spans="1:6" x14ac:dyDescent="0.15">
      <c r="A1825" s="86"/>
      <c r="B1825" s="86"/>
      <c r="C1825" s="86"/>
      <c r="D1825" s="86"/>
      <c r="E1825" s="86"/>
      <c r="F1825" s="86"/>
    </row>
    <row r="1826" spans="1:6" x14ac:dyDescent="0.15">
      <c r="A1826" s="86"/>
      <c r="B1826" s="86"/>
      <c r="C1826" s="86"/>
      <c r="D1826" s="86"/>
      <c r="E1826" s="86"/>
      <c r="F1826" s="86"/>
    </row>
    <row r="1827" spans="1:6" x14ac:dyDescent="0.15">
      <c r="A1827" s="86"/>
      <c r="B1827" s="86"/>
      <c r="C1827" s="86"/>
      <c r="D1827" s="86"/>
      <c r="E1827" s="86"/>
      <c r="F1827" s="86"/>
    </row>
    <row r="1828" spans="1:6" x14ac:dyDescent="0.15">
      <c r="A1828" s="86"/>
      <c r="B1828" s="86"/>
      <c r="C1828" s="86"/>
      <c r="D1828" s="86"/>
      <c r="E1828" s="86"/>
      <c r="F1828" s="86"/>
    </row>
    <row r="1829" spans="1:6" x14ac:dyDescent="0.15">
      <c r="A1829" s="86"/>
      <c r="B1829" s="86"/>
      <c r="C1829" s="86"/>
      <c r="D1829" s="86"/>
      <c r="E1829" s="86"/>
      <c r="F1829" s="86"/>
    </row>
    <row r="1830" spans="1:6" x14ac:dyDescent="0.15">
      <c r="A1830" s="86"/>
      <c r="B1830" s="86"/>
      <c r="C1830" s="86"/>
      <c r="D1830" s="86"/>
      <c r="E1830" s="86"/>
      <c r="F1830" s="86"/>
    </row>
    <row r="1831" spans="1:6" x14ac:dyDescent="0.15">
      <c r="A1831" s="86"/>
      <c r="B1831" s="86"/>
      <c r="C1831" s="86"/>
      <c r="D1831" s="86"/>
      <c r="E1831" s="86"/>
      <c r="F1831" s="86"/>
    </row>
    <row r="1832" spans="1:6" x14ac:dyDescent="0.15">
      <c r="A1832" s="86"/>
      <c r="B1832" s="86"/>
      <c r="C1832" s="86"/>
      <c r="D1832" s="86"/>
      <c r="E1832" s="86"/>
      <c r="F1832" s="86"/>
    </row>
    <row r="1833" spans="1:6" x14ac:dyDescent="0.15">
      <c r="A1833" s="86"/>
      <c r="B1833" s="86"/>
      <c r="C1833" s="86"/>
      <c r="D1833" s="86"/>
      <c r="E1833" s="86"/>
      <c r="F1833" s="86"/>
    </row>
    <row r="1834" spans="1:6" x14ac:dyDescent="0.15">
      <c r="A1834" s="86"/>
      <c r="B1834" s="86"/>
      <c r="C1834" s="86"/>
      <c r="D1834" s="86"/>
      <c r="E1834" s="86"/>
      <c r="F1834" s="86"/>
    </row>
    <row r="1835" spans="1:6" x14ac:dyDescent="0.15">
      <c r="A1835" s="86"/>
      <c r="B1835" s="86"/>
      <c r="C1835" s="86"/>
      <c r="D1835" s="86"/>
      <c r="E1835" s="86"/>
      <c r="F1835" s="86"/>
    </row>
    <row r="1836" spans="1:6" x14ac:dyDescent="0.15">
      <c r="A1836" s="86"/>
      <c r="B1836" s="86"/>
      <c r="C1836" s="86"/>
      <c r="D1836" s="86"/>
      <c r="E1836" s="86"/>
      <c r="F1836" s="86"/>
    </row>
    <row r="1837" spans="1:6" x14ac:dyDescent="0.15">
      <c r="A1837" s="86"/>
      <c r="B1837" s="86"/>
      <c r="C1837" s="86"/>
      <c r="D1837" s="86"/>
      <c r="E1837" s="86"/>
      <c r="F1837" s="86"/>
    </row>
    <row r="1838" spans="1:6" x14ac:dyDescent="0.15">
      <c r="A1838" s="86"/>
      <c r="B1838" s="86"/>
      <c r="C1838" s="86"/>
      <c r="D1838" s="86"/>
      <c r="E1838" s="86"/>
      <c r="F1838" s="86"/>
    </row>
    <row r="1839" spans="1:6" x14ac:dyDescent="0.15">
      <c r="A1839" s="86"/>
      <c r="B1839" s="86"/>
      <c r="C1839" s="86"/>
      <c r="D1839" s="86"/>
      <c r="E1839" s="86"/>
      <c r="F1839" s="86"/>
    </row>
    <row r="1840" spans="1:6" x14ac:dyDescent="0.15">
      <c r="A1840" s="86"/>
      <c r="B1840" s="86"/>
      <c r="C1840" s="86"/>
      <c r="D1840" s="86"/>
      <c r="E1840" s="86"/>
      <c r="F1840" s="86"/>
    </row>
    <row r="1841" spans="1:6" x14ac:dyDescent="0.15">
      <c r="A1841" s="86"/>
      <c r="B1841" s="86"/>
      <c r="C1841" s="86"/>
      <c r="D1841" s="86"/>
      <c r="E1841" s="86"/>
      <c r="F1841" s="86"/>
    </row>
    <row r="1842" spans="1:6" x14ac:dyDescent="0.15">
      <c r="A1842" s="86"/>
      <c r="B1842" s="86"/>
      <c r="C1842" s="86"/>
      <c r="D1842" s="86"/>
      <c r="E1842" s="86"/>
      <c r="F1842" s="86"/>
    </row>
    <row r="1843" spans="1:6" x14ac:dyDescent="0.15">
      <c r="A1843" s="86"/>
      <c r="B1843" s="86"/>
      <c r="C1843" s="86"/>
      <c r="D1843" s="86"/>
      <c r="E1843" s="86"/>
      <c r="F1843" s="86"/>
    </row>
    <row r="1844" spans="1:6" x14ac:dyDescent="0.15">
      <c r="A1844" s="86"/>
      <c r="B1844" s="86"/>
      <c r="C1844" s="86"/>
      <c r="D1844" s="86"/>
      <c r="E1844" s="86"/>
      <c r="F1844" s="86"/>
    </row>
    <row r="1845" spans="1:6" x14ac:dyDescent="0.15">
      <c r="A1845" s="86"/>
      <c r="B1845" s="86"/>
      <c r="C1845" s="86"/>
      <c r="D1845" s="86"/>
      <c r="E1845" s="86"/>
      <c r="F1845" s="86"/>
    </row>
    <row r="1846" spans="1:6" x14ac:dyDescent="0.15">
      <c r="A1846" s="86"/>
      <c r="B1846" s="86"/>
      <c r="C1846" s="86"/>
      <c r="D1846" s="86"/>
      <c r="E1846" s="86"/>
      <c r="F1846" s="86"/>
    </row>
    <row r="1847" spans="1:6" x14ac:dyDescent="0.15">
      <c r="A1847" s="86"/>
      <c r="B1847" s="86"/>
      <c r="C1847" s="86"/>
      <c r="D1847" s="86"/>
      <c r="E1847" s="86"/>
      <c r="F1847" s="86"/>
    </row>
    <row r="1848" spans="1:6" x14ac:dyDescent="0.15">
      <c r="A1848" s="86"/>
      <c r="B1848" s="86"/>
      <c r="C1848" s="86"/>
      <c r="D1848" s="86"/>
      <c r="E1848" s="86"/>
      <c r="F1848" s="86"/>
    </row>
    <row r="1849" spans="1:6" x14ac:dyDescent="0.15">
      <c r="A1849" s="86"/>
      <c r="B1849" s="86"/>
      <c r="C1849" s="86"/>
      <c r="D1849" s="86"/>
      <c r="E1849" s="86"/>
      <c r="F1849" s="86"/>
    </row>
    <row r="1850" spans="1:6" x14ac:dyDescent="0.15">
      <c r="A1850" s="86"/>
      <c r="B1850" s="86"/>
      <c r="C1850" s="86"/>
      <c r="D1850" s="86"/>
      <c r="E1850" s="86"/>
      <c r="F1850" s="86"/>
    </row>
    <row r="1851" spans="1:6" x14ac:dyDescent="0.15">
      <c r="A1851" s="86"/>
      <c r="B1851" s="86"/>
      <c r="C1851" s="86"/>
      <c r="D1851" s="86"/>
      <c r="E1851" s="86"/>
      <c r="F1851" s="86"/>
    </row>
    <row r="1852" spans="1:6" x14ac:dyDescent="0.15">
      <c r="A1852" s="86"/>
      <c r="B1852" s="86"/>
      <c r="C1852" s="86"/>
      <c r="D1852" s="86"/>
      <c r="E1852" s="86"/>
      <c r="F1852" s="86"/>
    </row>
    <row r="1853" spans="1:6" x14ac:dyDescent="0.15">
      <c r="A1853" s="86"/>
      <c r="B1853" s="86"/>
      <c r="C1853" s="86"/>
      <c r="D1853" s="86"/>
      <c r="E1853" s="86"/>
      <c r="F1853" s="86"/>
    </row>
    <row r="1854" spans="1:6" x14ac:dyDescent="0.15">
      <c r="A1854" s="86"/>
      <c r="B1854" s="86"/>
      <c r="C1854" s="86"/>
      <c r="D1854" s="86"/>
      <c r="E1854" s="86"/>
      <c r="F1854" s="86"/>
    </row>
    <row r="1855" spans="1:6" x14ac:dyDescent="0.15">
      <c r="A1855" s="86"/>
      <c r="B1855" s="86"/>
      <c r="C1855" s="86"/>
      <c r="D1855" s="86"/>
      <c r="E1855" s="86"/>
      <c r="F1855" s="86"/>
    </row>
    <row r="1856" spans="1:6" x14ac:dyDescent="0.15">
      <c r="A1856" s="86"/>
      <c r="B1856" s="86"/>
      <c r="C1856" s="86"/>
      <c r="D1856" s="86"/>
      <c r="E1856" s="86"/>
      <c r="F1856" s="86"/>
    </row>
    <row r="1857" spans="1:6" x14ac:dyDescent="0.15">
      <c r="A1857" s="86"/>
      <c r="B1857" s="86"/>
      <c r="C1857" s="86"/>
      <c r="D1857" s="86"/>
      <c r="E1857" s="86"/>
      <c r="F1857" s="86"/>
    </row>
    <row r="1858" spans="1:6" x14ac:dyDescent="0.15">
      <c r="A1858" s="86"/>
      <c r="B1858" s="86"/>
      <c r="C1858" s="86"/>
      <c r="D1858" s="86"/>
      <c r="E1858" s="86"/>
      <c r="F1858" s="86"/>
    </row>
    <row r="1859" spans="1:6" x14ac:dyDescent="0.15">
      <c r="A1859" s="86"/>
      <c r="B1859" s="86"/>
      <c r="C1859" s="86"/>
      <c r="D1859" s="86"/>
      <c r="E1859" s="86"/>
      <c r="F1859" s="86"/>
    </row>
    <row r="1860" spans="1:6" x14ac:dyDescent="0.15">
      <c r="A1860" s="86"/>
      <c r="B1860" s="86"/>
      <c r="C1860" s="86"/>
      <c r="D1860" s="86"/>
      <c r="E1860" s="86"/>
      <c r="F1860" s="86"/>
    </row>
    <row r="1861" spans="1:6" x14ac:dyDescent="0.15">
      <c r="A1861" s="86"/>
      <c r="B1861" s="86"/>
      <c r="C1861" s="86"/>
      <c r="D1861" s="86"/>
      <c r="E1861" s="86"/>
      <c r="F1861" s="86"/>
    </row>
    <row r="1862" spans="1:6" x14ac:dyDescent="0.15">
      <c r="A1862" s="86"/>
      <c r="B1862" s="86"/>
      <c r="C1862" s="86"/>
      <c r="D1862" s="86"/>
      <c r="E1862" s="86"/>
      <c r="F1862" s="86"/>
    </row>
    <row r="1863" spans="1:6" x14ac:dyDescent="0.15">
      <c r="A1863" s="86"/>
      <c r="B1863" s="86"/>
      <c r="C1863" s="86"/>
      <c r="D1863" s="86"/>
      <c r="E1863" s="86"/>
      <c r="F1863" s="86"/>
    </row>
    <row r="1864" spans="1:6" x14ac:dyDescent="0.15">
      <c r="A1864" s="86"/>
      <c r="B1864" s="86"/>
      <c r="C1864" s="86"/>
      <c r="D1864" s="86"/>
      <c r="E1864" s="86"/>
      <c r="F1864" s="86"/>
    </row>
    <row r="1865" spans="1:6" x14ac:dyDescent="0.15">
      <c r="A1865" s="86"/>
      <c r="B1865" s="86"/>
      <c r="C1865" s="86"/>
      <c r="D1865" s="86"/>
      <c r="E1865" s="86"/>
      <c r="F1865" s="86"/>
    </row>
    <row r="1866" spans="1:6" x14ac:dyDescent="0.15">
      <c r="A1866" s="86"/>
      <c r="B1866" s="86"/>
      <c r="C1866" s="86"/>
      <c r="D1866" s="86"/>
      <c r="E1866" s="86"/>
      <c r="F1866" s="86"/>
    </row>
    <row r="1867" spans="1:6" x14ac:dyDescent="0.15">
      <c r="A1867" s="86"/>
      <c r="B1867" s="86"/>
      <c r="C1867" s="86"/>
      <c r="D1867" s="86"/>
      <c r="E1867" s="86"/>
      <c r="F1867" s="86"/>
    </row>
    <row r="1868" spans="1:6" x14ac:dyDescent="0.15">
      <c r="A1868" s="86"/>
      <c r="B1868" s="86"/>
      <c r="C1868" s="86"/>
      <c r="D1868" s="86"/>
      <c r="E1868" s="86"/>
      <c r="F1868" s="86"/>
    </row>
    <row r="1869" spans="1:6" x14ac:dyDescent="0.15">
      <c r="A1869" s="86"/>
      <c r="B1869" s="86"/>
      <c r="C1869" s="86"/>
      <c r="D1869" s="86"/>
      <c r="E1869" s="86"/>
      <c r="F1869" s="86"/>
    </row>
    <row r="1870" spans="1:6" x14ac:dyDescent="0.15">
      <c r="A1870" s="86"/>
      <c r="B1870" s="86"/>
      <c r="C1870" s="86"/>
      <c r="D1870" s="86"/>
      <c r="E1870" s="86"/>
      <c r="F1870" s="86"/>
    </row>
    <row r="1871" spans="1:6" x14ac:dyDescent="0.15">
      <c r="A1871" s="86"/>
      <c r="B1871" s="86"/>
      <c r="C1871" s="86"/>
      <c r="D1871" s="86"/>
      <c r="E1871" s="86"/>
      <c r="F1871" s="86"/>
    </row>
    <row r="1872" spans="1:6" x14ac:dyDescent="0.15">
      <c r="A1872" s="86"/>
      <c r="B1872" s="86"/>
      <c r="C1872" s="86"/>
      <c r="D1872" s="86"/>
      <c r="E1872" s="86"/>
      <c r="F1872" s="86"/>
    </row>
    <row r="1873" spans="1:6" x14ac:dyDescent="0.15">
      <c r="A1873" s="86"/>
      <c r="B1873" s="86"/>
      <c r="C1873" s="86"/>
      <c r="D1873" s="86"/>
      <c r="E1873" s="86"/>
      <c r="F1873" s="86"/>
    </row>
    <row r="1874" spans="1:6" x14ac:dyDescent="0.15">
      <c r="A1874" s="86"/>
      <c r="B1874" s="86"/>
      <c r="C1874" s="86"/>
      <c r="D1874" s="86"/>
      <c r="E1874" s="86"/>
      <c r="F1874" s="86"/>
    </row>
    <row r="1875" spans="1:6" x14ac:dyDescent="0.15">
      <c r="A1875" s="86"/>
      <c r="B1875" s="86"/>
      <c r="C1875" s="86"/>
      <c r="D1875" s="86"/>
      <c r="E1875" s="86"/>
      <c r="F1875" s="86"/>
    </row>
    <row r="1876" spans="1:6" x14ac:dyDescent="0.15">
      <c r="A1876" s="86"/>
      <c r="B1876" s="86"/>
      <c r="C1876" s="86"/>
      <c r="D1876" s="86"/>
      <c r="E1876" s="86"/>
      <c r="F1876" s="86"/>
    </row>
    <row r="1877" spans="1:6" x14ac:dyDescent="0.15">
      <c r="A1877" s="86"/>
      <c r="B1877" s="86"/>
      <c r="C1877" s="86"/>
      <c r="D1877" s="86"/>
      <c r="E1877" s="86"/>
      <c r="F1877" s="86"/>
    </row>
    <row r="1878" spans="1:6" x14ac:dyDescent="0.15">
      <c r="A1878" s="86"/>
      <c r="B1878" s="86"/>
      <c r="C1878" s="86"/>
      <c r="D1878" s="86"/>
      <c r="E1878" s="86"/>
      <c r="F1878" s="86"/>
    </row>
    <row r="1879" spans="1:6" x14ac:dyDescent="0.15">
      <c r="A1879" s="86"/>
      <c r="B1879" s="86"/>
      <c r="C1879" s="86"/>
      <c r="D1879" s="86"/>
      <c r="E1879" s="86"/>
      <c r="F1879" s="86"/>
    </row>
    <row r="1880" spans="1:6" x14ac:dyDescent="0.15">
      <c r="A1880" s="86"/>
      <c r="B1880" s="86"/>
      <c r="C1880" s="86"/>
      <c r="D1880" s="86"/>
      <c r="E1880" s="86"/>
      <c r="F1880" s="86"/>
    </row>
    <row r="1881" spans="1:6" x14ac:dyDescent="0.15">
      <c r="A1881" s="86"/>
      <c r="B1881" s="86"/>
      <c r="C1881" s="86"/>
      <c r="D1881" s="86"/>
      <c r="E1881" s="86"/>
      <c r="F1881" s="86"/>
    </row>
    <row r="1882" spans="1:6" x14ac:dyDescent="0.15">
      <c r="A1882" s="86"/>
      <c r="B1882" s="86"/>
      <c r="C1882" s="86"/>
      <c r="D1882" s="86"/>
      <c r="E1882" s="86"/>
      <c r="F1882" s="86"/>
    </row>
    <row r="1883" spans="1:6" x14ac:dyDescent="0.15">
      <c r="A1883" s="86"/>
      <c r="B1883" s="86"/>
      <c r="C1883" s="86"/>
      <c r="D1883" s="86"/>
      <c r="E1883" s="86"/>
      <c r="F1883" s="86"/>
    </row>
    <row r="1884" spans="1:6" x14ac:dyDescent="0.15">
      <c r="A1884" s="86"/>
      <c r="B1884" s="86"/>
      <c r="C1884" s="86"/>
      <c r="D1884" s="86"/>
      <c r="E1884" s="86"/>
      <c r="F1884" s="86"/>
    </row>
    <row r="1885" spans="1:6" x14ac:dyDescent="0.15">
      <c r="A1885" s="86"/>
      <c r="B1885" s="86"/>
      <c r="C1885" s="86"/>
      <c r="D1885" s="86"/>
      <c r="E1885" s="86"/>
      <c r="F1885" s="86"/>
    </row>
    <row r="1886" spans="1:6" x14ac:dyDescent="0.15">
      <c r="A1886" s="86"/>
      <c r="B1886" s="86"/>
      <c r="C1886" s="86"/>
      <c r="D1886" s="86"/>
      <c r="E1886" s="86"/>
      <c r="F1886" s="86"/>
    </row>
    <row r="1887" spans="1:6" x14ac:dyDescent="0.15">
      <c r="A1887" s="86"/>
      <c r="B1887" s="86"/>
      <c r="C1887" s="86"/>
      <c r="D1887" s="86"/>
      <c r="E1887" s="86"/>
      <c r="F1887" s="86"/>
    </row>
    <row r="1888" spans="1:6" x14ac:dyDescent="0.15">
      <c r="A1888" s="86"/>
      <c r="B1888" s="86"/>
      <c r="C1888" s="86"/>
      <c r="D1888" s="86"/>
      <c r="E1888" s="86"/>
      <c r="F1888" s="86"/>
    </row>
    <row r="1889" spans="1:6" x14ac:dyDescent="0.15">
      <c r="A1889" s="86"/>
      <c r="B1889" s="86"/>
      <c r="C1889" s="86"/>
      <c r="D1889" s="86"/>
      <c r="E1889" s="86"/>
      <c r="F1889" s="86"/>
    </row>
    <row r="1890" spans="1:6" x14ac:dyDescent="0.15">
      <c r="A1890" s="86"/>
      <c r="B1890" s="86"/>
      <c r="C1890" s="86"/>
      <c r="D1890" s="86"/>
      <c r="E1890" s="86"/>
      <c r="F1890" s="86"/>
    </row>
    <row r="1891" spans="1:6" x14ac:dyDescent="0.15">
      <c r="A1891" s="86"/>
      <c r="B1891" s="86"/>
      <c r="C1891" s="86"/>
      <c r="D1891" s="86"/>
      <c r="E1891" s="86"/>
      <c r="F1891" s="86"/>
    </row>
    <row r="1892" spans="1:6" x14ac:dyDescent="0.15">
      <c r="A1892" s="86"/>
      <c r="B1892" s="86"/>
      <c r="C1892" s="86"/>
      <c r="D1892" s="86"/>
      <c r="E1892" s="86"/>
      <c r="F1892" s="86"/>
    </row>
    <row r="1893" spans="1:6" x14ac:dyDescent="0.15">
      <c r="A1893" s="86"/>
      <c r="B1893" s="86"/>
      <c r="C1893" s="86"/>
      <c r="D1893" s="86"/>
      <c r="E1893" s="86"/>
      <c r="F1893" s="86"/>
    </row>
    <row r="1894" spans="1:6" x14ac:dyDescent="0.15">
      <c r="A1894" s="86"/>
      <c r="B1894" s="86"/>
      <c r="C1894" s="86"/>
      <c r="D1894" s="86"/>
      <c r="E1894" s="86"/>
      <c r="F1894" s="86"/>
    </row>
    <row r="1895" spans="1:6" x14ac:dyDescent="0.15">
      <c r="A1895" s="86"/>
      <c r="B1895" s="86"/>
      <c r="C1895" s="86"/>
      <c r="D1895" s="86"/>
      <c r="E1895" s="86"/>
      <c r="F1895" s="86"/>
    </row>
    <row r="1896" spans="1:6" x14ac:dyDescent="0.15">
      <c r="A1896" s="86"/>
      <c r="B1896" s="86"/>
      <c r="C1896" s="86"/>
      <c r="D1896" s="86"/>
      <c r="E1896" s="86"/>
      <c r="F1896" s="86"/>
    </row>
    <row r="1897" spans="1:6" x14ac:dyDescent="0.15">
      <c r="A1897" s="86"/>
      <c r="B1897" s="86"/>
      <c r="C1897" s="86"/>
      <c r="D1897" s="86"/>
      <c r="E1897" s="86"/>
      <c r="F1897" s="86"/>
    </row>
    <row r="1898" spans="1:6" x14ac:dyDescent="0.15">
      <c r="A1898" s="86"/>
      <c r="B1898" s="86"/>
      <c r="C1898" s="86"/>
      <c r="D1898" s="86"/>
      <c r="E1898" s="86"/>
      <c r="F1898" s="86"/>
    </row>
    <row r="1899" spans="1:6" x14ac:dyDescent="0.15">
      <c r="A1899" s="86"/>
      <c r="B1899" s="86"/>
      <c r="C1899" s="86"/>
      <c r="D1899" s="86"/>
      <c r="E1899" s="86"/>
      <c r="F1899" s="86"/>
    </row>
    <row r="1900" spans="1:6" x14ac:dyDescent="0.15">
      <c r="A1900" s="86"/>
      <c r="B1900" s="86"/>
      <c r="C1900" s="86"/>
      <c r="D1900" s="86"/>
      <c r="E1900" s="86"/>
      <c r="F1900" s="86"/>
    </row>
    <row r="1901" spans="1:6" x14ac:dyDescent="0.15">
      <c r="A1901" s="86"/>
      <c r="B1901" s="86"/>
      <c r="C1901" s="86"/>
      <c r="D1901" s="86"/>
      <c r="E1901" s="86"/>
      <c r="F1901" s="86"/>
    </row>
    <row r="1902" spans="1:6" x14ac:dyDescent="0.15">
      <c r="A1902" s="86"/>
      <c r="B1902" s="86"/>
      <c r="C1902" s="86"/>
      <c r="D1902" s="86"/>
      <c r="E1902" s="86"/>
      <c r="F1902" s="86"/>
    </row>
    <row r="1903" spans="1:6" x14ac:dyDescent="0.15">
      <c r="A1903" s="86"/>
      <c r="B1903" s="86"/>
      <c r="C1903" s="86"/>
      <c r="D1903" s="86"/>
      <c r="E1903" s="86"/>
      <c r="F1903" s="86"/>
    </row>
    <row r="1904" spans="1:6" x14ac:dyDescent="0.15">
      <c r="A1904" s="86"/>
      <c r="B1904" s="86"/>
      <c r="C1904" s="86"/>
      <c r="D1904" s="86"/>
      <c r="E1904" s="86"/>
      <c r="F1904" s="86"/>
    </row>
    <row r="1905" spans="1:6" x14ac:dyDescent="0.15">
      <c r="A1905" s="86"/>
      <c r="B1905" s="86"/>
      <c r="C1905" s="86"/>
      <c r="D1905" s="86"/>
      <c r="E1905" s="86"/>
      <c r="F1905" s="86"/>
    </row>
    <row r="1906" spans="1:6" x14ac:dyDescent="0.15">
      <c r="A1906" s="86"/>
      <c r="B1906" s="86"/>
      <c r="C1906" s="86"/>
      <c r="D1906" s="86"/>
      <c r="E1906" s="86"/>
      <c r="F1906" s="86"/>
    </row>
    <row r="1907" spans="1:6" x14ac:dyDescent="0.15">
      <c r="A1907" s="86"/>
      <c r="B1907" s="86"/>
      <c r="C1907" s="86"/>
      <c r="D1907" s="86"/>
      <c r="E1907" s="86"/>
      <c r="F1907" s="86"/>
    </row>
    <row r="1908" spans="1:6" x14ac:dyDescent="0.15">
      <c r="A1908" s="86"/>
      <c r="B1908" s="86"/>
      <c r="C1908" s="86"/>
      <c r="D1908" s="86"/>
      <c r="E1908" s="86"/>
      <c r="F1908" s="86"/>
    </row>
    <row r="1909" spans="1:6" x14ac:dyDescent="0.15">
      <c r="A1909" s="86"/>
      <c r="B1909" s="86"/>
      <c r="C1909" s="86"/>
      <c r="D1909" s="86"/>
      <c r="E1909" s="86"/>
      <c r="F1909" s="86"/>
    </row>
    <row r="1910" spans="1:6" x14ac:dyDescent="0.15">
      <c r="A1910" s="86"/>
      <c r="B1910" s="86"/>
      <c r="C1910" s="86"/>
      <c r="D1910" s="86"/>
      <c r="E1910" s="86"/>
      <c r="F1910" s="86"/>
    </row>
    <row r="1911" spans="1:6" x14ac:dyDescent="0.15">
      <c r="A1911" s="86"/>
      <c r="B1911" s="86"/>
      <c r="C1911" s="86"/>
      <c r="D1911" s="86"/>
      <c r="E1911" s="86"/>
      <c r="F1911" s="86"/>
    </row>
    <row r="1912" spans="1:6" x14ac:dyDescent="0.15">
      <c r="A1912" s="86"/>
      <c r="B1912" s="86"/>
      <c r="C1912" s="86"/>
      <c r="D1912" s="86"/>
      <c r="E1912" s="86"/>
      <c r="F1912" s="86"/>
    </row>
    <row r="1913" spans="1:6" x14ac:dyDescent="0.15">
      <c r="A1913" s="86"/>
      <c r="B1913" s="86"/>
      <c r="C1913" s="86"/>
      <c r="D1913" s="86"/>
      <c r="E1913" s="86"/>
      <c r="F1913" s="86"/>
    </row>
    <row r="1914" spans="1:6" x14ac:dyDescent="0.15">
      <c r="A1914" s="86"/>
      <c r="B1914" s="86"/>
      <c r="C1914" s="86"/>
      <c r="D1914" s="86"/>
      <c r="E1914" s="86"/>
      <c r="F1914" s="86"/>
    </row>
    <row r="1915" spans="1:6" x14ac:dyDescent="0.15">
      <c r="A1915" s="86"/>
      <c r="B1915" s="86"/>
      <c r="C1915" s="86"/>
      <c r="D1915" s="86"/>
      <c r="E1915" s="86"/>
      <c r="F1915" s="86"/>
    </row>
    <row r="1916" spans="1:6" x14ac:dyDescent="0.15">
      <c r="A1916" s="86"/>
      <c r="B1916" s="86"/>
      <c r="C1916" s="86"/>
      <c r="D1916" s="86"/>
      <c r="E1916" s="86"/>
      <c r="F1916" s="86"/>
    </row>
    <row r="1917" spans="1:6" x14ac:dyDescent="0.15">
      <c r="A1917" s="86"/>
      <c r="B1917" s="86"/>
      <c r="C1917" s="86"/>
      <c r="D1917" s="86"/>
      <c r="E1917" s="86"/>
      <c r="F1917" s="86"/>
    </row>
    <row r="1918" spans="1:6" x14ac:dyDescent="0.15">
      <c r="A1918" s="86"/>
      <c r="B1918" s="86"/>
      <c r="C1918" s="86"/>
      <c r="D1918" s="86"/>
      <c r="E1918" s="86"/>
      <c r="F1918" s="86"/>
    </row>
    <row r="1919" spans="1:6" x14ac:dyDescent="0.15">
      <c r="A1919" s="86"/>
      <c r="B1919" s="86"/>
      <c r="C1919" s="86"/>
      <c r="D1919" s="86"/>
      <c r="E1919" s="86"/>
      <c r="F1919" s="86"/>
    </row>
    <row r="1920" spans="1:6" x14ac:dyDescent="0.15">
      <c r="A1920" s="86"/>
      <c r="B1920" s="86"/>
      <c r="C1920" s="86"/>
      <c r="D1920" s="86"/>
      <c r="E1920" s="86"/>
      <c r="F1920" s="86"/>
    </row>
    <row r="1921" spans="1:6" x14ac:dyDescent="0.15">
      <c r="A1921" s="86"/>
      <c r="B1921" s="86"/>
      <c r="C1921" s="86"/>
      <c r="D1921" s="86"/>
      <c r="E1921" s="86"/>
      <c r="F1921" s="86"/>
    </row>
    <row r="1922" spans="1:6" x14ac:dyDescent="0.15">
      <c r="A1922" s="86"/>
      <c r="B1922" s="86"/>
      <c r="C1922" s="86"/>
      <c r="D1922" s="86"/>
      <c r="E1922" s="86"/>
      <c r="F1922" s="86"/>
    </row>
    <row r="1923" spans="1:6" x14ac:dyDescent="0.15">
      <c r="A1923" s="86"/>
      <c r="B1923" s="86"/>
      <c r="C1923" s="86"/>
      <c r="D1923" s="86"/>
      <c r="E1923" s="86"/>
      <c r="F1923" s="86"/>
    </row>
    <row r="1924" spans="1:6" x14ac:dyDescent="0.15">
      <c r="A1924" s="86"/>
      <c r="B1924" s="86"/>
      <c r="C1924" s="86"/>
      <c r="D1924" s="86"/>
      <c r="E1924" s="86"/>
      <c r="F1924" s="86"/>
    </row>
    <row r="1925" spans="1:6" x14ac:dyDescent="0.15">
      <c r="A1925" s="86"/>
      <c r="B1925" s="86"/>
      <c r="C1925" s="86"/>
      <c r="D1925" s="86"/>
      <c r="E1925" s="86"/>
      <c r="F1925" s="86"/>
    </row>
    <row r="1926" spans="1:6" x14ac:dyDescent="0.15">
      <c r="A1926" s="86"/>
      <c r="B1926" s="86"/>
      <c r="C1926" s="86"/>
      <c r="D1926" s="86"/>
      <c r="E1926" s="86"/>
      <c r="F1926" s="86"/>
    </row>
    <row r="1927" spans="1:6" x14ac:dyDescent="0.15">
      <c r="A1927" s="86"/>
      <c r="B1927" s="86"/>
      <c r="C1927" s="86"/>
      <c r="D1927" s="86"/>
      <c r="E1927" s="86"/>
      <c r="F1927" s="86"/>
    </row>
    <row r="1928" spans="1:6" x14ac:dyDescent="0.15">
      <c r="A1928" s="86"/>
      <c r="B1928" s="86"/>
      <c r="C1928" s="86"/>
      <c r="D1928" s="86"/>
      <c r="E1928" s="86"/>
      <c r="F1928" s="86"/>
    </row>
    <row r="1929" spans="1:6" x14ac:dyDescent="0.15">
      <c r="A1929" s="86"/>
      <c r="B1929" s="86"/>
      <c r="C1929" s="86"/>
      <c r="D1929" s="86"/>
      <c r="E1929" s="86"/>
      <c r="F1929" s="86"/>
    </row>
    <row r="1930" spans="1:6" x14ac:dyDescent="0.15">
      <c r="A1930" s="86"/>
      <c r="B1930" s="86"/>
      <c r="C1930" s="86"/>
      <c r="D1930" s="86"/>
      <c r="E1930" s="86"/>
      <c r="F1930" s="86"/>
    </row>
    <row r="1931" spans="1:6" x14ac:dyDescent="0.15">
      <c r="A1931" s="86"/>
      <c r="B1931" s="86"/>
      <c r="C1931" s="86"/>
      <c r="D1931" s="86"/>
      <c r="E1931" s="86"/>
      <c r="F1931" s="86"/>
    </row>
    <row r="1932" spans="1:6" x14ac:dyDescent="0.15">
      <c r="A1932" s="86"/>
      <c r="B1932" s="86"/>
      <c r="C1932" s="86"/>
      <c r="D1932" s="86"/>
      <c r="E1932" s="86"/>
      <c r="F1932" s="86"/>
    </row>
    <row r="1933" spans="1:6" x14ac:dyDescent="0.15">
      <c r="A1933" s="86"/>
      <c r="B1933" s="86"/>
      <c r="C1933" s="86"/>
      <c r="D1933" s="86"/>
      <c r="E1933" s="86"/>
      <c r="F1933" s="86"/>
    </row>
    <row r="1934" spans="1:6" x14ac:dyDescent="0.15">
      <c r="A1934" s="86"/>
      <c r="B1934" s="86"/>
      <c r="C1934" s="86"/>
      <c r="D1934" s="86"/>
      <c r="E1934" s="86"/>
      <c r="F1934" s="86"/>
    </row>
    <row r="1935" spans="1:6" x14ac:dyDescent="0.15">
      <c r="A1935" s="86"/>
      <c r="B1935" s="86"/>
      <c r="C1935" s="86"/>
      <c r="D1935" s="86"/>
      <c r="E1935" s="86"/>
      <c r="F1935" s="86"/>
    </row>
    <row r="1936" spans="1:6" x14ac:dyDescent="0.15">
      <c r="A1936" s="86"/>
      <c r="B1936" s="86"/>
      <c r="C1936" s="86"/>
      <c r="D1936" s="86"/>
      <c r="E1936" s="86"/>
      <c r="F1936" s="86"/>
    </row>
    <row r="1937" spans="1:6" x14ac:dyDescent="0.15">
      <c r="A1937" s="86"/>
      <c r="B1937" s="86"/>
      <c r="C1937" s="86"/>
      <c r="D1937" s="86"/>
      <c r="E1937" s="86"/>
      <c r="F1937" s="86"/>
    </row>
    <row r="1938" spans="1:6" x14ac:dyDescent="0.15">
      <c r="A1938" s="86"/>
      <c r="B1938" s="86"/>
      <c r="C1938" s="86"/>
      <c r="D1938" s="86"/>
      <c r="E1938" s="86"/>
      <c r="F1938" s="86"/>
    </row>
    <row r="1939" spans="1:6" x14ac:dyDescent="0.15">
      <c r="A1939" s="86"/>
      <c r="B1939" s="86"/>
      <c r="C1939" s="86"/>
      <c r="D1939" s="86"/>
      <c r="E1939" s="86"/>
      <c r="F1939" s="86"/>
    </row>
    <row r="1940" spans="1:6" x14ac:dyDescent="0.15">
      <c r="A1940" s="86"/>
      <c r="B1940" s="86"/>
      <c r="C1940" s="86"/>
      <c r="D1940" s="86"/>
      <c r="E1940" s="86"/>
      <c r="F1940" s="86"/>
    </row>
    <row r="1941" spans="1:6" x14ac:dyDescent="0.15">
      <c r="A1941" s="86"/>
      <c r="B1941" s="86"/>
      <c r="C1941" s="86"/>
      <c r="D1941" s="86"/>
      <c r="E1941" s="86"/>
      <c r="F1941" s="86"/>
    </row>
    <row r="1942" spans="1:6" x14ac:dyDescent="0.15">
      <c r="A1942" s="86"/>
      <c r="B1942" s="86"/>
      <c r="C1942" s="86"/>
      <c r="D1942" s="86"/>
      <c r="E1942" s="86"/>
      <c r="F1942" s="86"/>
    </row>
    <row r="1943" spans="1:6" x14ac:dyDescent="0.15">
      <c r="A1943" s="86"/>
      <c r="B1943" s="86"/>
      <c r="C1943" s="86"/>
      <c r="D1943" s="86"/>
      <c r="E1943" s="86"/>
      <c r="F1943" s="86"/>
    </row>
    <row r="1944" spans="1:6" x14ac:dyDescent="0.15">
      <c r="A1944" s="86"/>
      <c r="B1944" s="86"/>
      <c r="C1944" s="86"/>
      <c r="D1944" s="86"/>
      <c r="E1944" s="86"/>
      <c r="F1944" s="86"/>
    </row>
    <row r="1945" spans="1:6" x14ac:dyDescent="0.15">
      <c r="A1945" s="86"/>
      <c r="B1945" s="86"/>
      <c r="C1945" s="86"/>
      <c r="D1945" s="86"/>
      <c r="E1945" s="86"/>
      <c r="F1945" s="86"/>
    </row>
    <row r="1946" spans="1:6" x14ac:dyDescent="0.15">
      <c r="A1946" s="86"/>
      <c r="B1946" s="86"/>
      <c r="C1946" s="86"/>
      <c r="D1946" s="86"/>
      <c r="E1946" s="86"/>
      <c r="F1946" s="86"/>
    </row>
    <row r="1947" spans="1:6" x14ac:dyDescent="0.15">
      <c r="A1947" s="86"/>
      <c r="B1947" s="86"/>
      <c r="C1947" s="86"/>
      <c r="D1947" s="86"/>
      <c r="E1947" s="86"/>
      <c r="F1947" s="86"/>
    </row>
    <row r="1948" spans="1:6" x14ac:dyDescent="0.15">
      <c r="A1948" s="86"/>
      <c r="B1948" s="86"/>
      <c r="C1948" s="86"/>
      <c r="D1948" s="86"/>
      <c r="E1948" s="86"/>
      <c r="F1948" s="86"/>
    </row>
    <row r="1949" spans="1:6" x14ac:dyDescent="0.15">
      <c r="A1949" s="86"/>
      <c r="B1949" s="86"/>
      <c r="C1949" s="86"/>
      <c r="D1949" s="86"/>
      <c r="E1949" s="86"/>
      <c r="F1949" s="86"/>
    </row>
    <row r="1950" spans="1:6" x14ac:dyDescent="0.15">
      <c r="A1950" s="86"/>
      <c r="B1950" s="86"/>
      <c r="C1950" s="86"/>
      <c r="D1950" s="86"/>
      <c r="E1950" s="86"/>
      <c r="F1950" s="86"/>
    </row>
    <row r="1951" spans="1:6" x14ac:dyDescent="0.15">
      <c r="A1951" s="86"/>
      <c r="B1951" s="86"/>
      <c r="C1951" s="86"/>
      <c r="D1951" s="86"/>
      <c r="E1951" s="86"/>
      <c r="F1951" s="86"/>
    </row>
    <row r="1952" spans="1:6" x14ac:dyDescent="0.15">
      <c r="A1952" s="86"/>
      <c r="B1952" s="86"/>
      <c r="C1952" s="86"/>
      <c r="D1952" s="86"/>
      <c r="E1952" s="86"/>
      <c r="F1952" s="86"/>
    </row>
    <row r="1953" spans="1:6" x14ac:dyDescent="0.15">
      <c r="A1953" s="86"/>
      <c r="B1953" s="86"/>
      <c r="C1953" s="86"/>
      <c r="D1953" s="86"/>
      <c r="E1953" s="86"/>
      <c r="F1953" s="86"/>
    </row>
    <row r="1954" spans="1:6" x14ac:dyDescent="0.15">
      <c r="A1954" s="86"/>
      <c r="B1954" s="86"/>
      <c r="C1954" s="86"/>
      <c r="D1954" s="86"/>
      <c r="E1954" s="86"/>
      <c r="F1954" s="86"/>
    </row>
    <row r="1955" spans="1:6" x14ac:dyDescent="0.15">
      <c r="A1955" s="86"/>
      <c r="B1955" s="86"/>
      <c r="C1955" s="86"/>
      <c r="D1955" s="86"/>
      <c r="E1955" s="86"/>
      <c r="F1955" s="86"/>
    </row>
    <row r="1956" spans="1:6" x14ac:dyDescent="0.15">
      <c r="A1956" s="86"/>
      <c r="B1956" s="86"/>
      <c r="C1956" s="86"/>
      <c r="D1956" s="86"/>
      <c r="E1956" s="86"/>
      <c r="F1956" s="86"/>
    </row>
    <row r="1957" spans="1:6" x14ac:dyDescent="0.15">
      <c r="A1957" s="86"/>
      <c r="B1957" s="86"/>
      <c r="C1957" s="86"/>
      <c r="D1957" s="86"/>
      <c r="E1957" s="86"/>
      <c r="F1957" s="86"/>
    </row>
    <row r="1958" spans="1:6" x14ac:dyDescent="0.15">
      <c r="A1958" s="86"/>
      <c r="B1958" s="86"/>
      <c r="C1958" s="86"/>
      <c r="D1958" s="86"/>
      <c r="E1958" s="86"/>
      <c r="F1958" s="86"/>
    </row>
    <row r="1959" spans="1:6" x14ac:dyDescent="0.15">
      <c r="A1959" s="86"/>
      <c r="B1959" s="86"/>
      <c r="C1959" s="86"/>
      <c r="D1959" s="86"/>
      <c r="E1959" s="86"/>
      <c r="F1959" s="86"/>
    </row>
    <row r="1960" spans="1:6" x14ac:dyDescent="0.15">
      <c r="A1960" s="86"/>
      <c r="B1960" s="86"/>
      <c r="C1960" s="86"/>
      <c r="D1960" s="86"/>
      <c r="E1960" s="86"/>
      <c r="F1960" s="86"/>
    </row>
    <row r="1961" spans="1:6" x14ac:dyDescent="0.15">
      <c r="A1961" s="86"/>
      <c r="B1961" s="86"/>
      <c r="C1961" s="86"/>
      <c r="D1961" s="86"/>
      <c r="E1961" s="86"/>
      <c r="F1961" s="86"/>
    </row>
    <row r="1962" spans="1:6" x14ac:dyDescent="0.15">
      <c r="A1962" s="86"/>
      <c r="B1962" s="86"/>
      <c r="C1962" s="86"/>
      <c r="D1962" s="86"/>
      <c r="E1962" s="86"/>
      <c r="F1962" s="86"/>
    </row>
    <row r="1963" spans="1:6" x14ac:dyDescent="0.15">
      <c r="A1963" s="86"/>
      <c r="B1963" s="86"/>
      <c r="C1963" s="86"/>
      <c r="D1963" s="86"/>
      <c r="E1963" s="86"/>
      <c r="F1963" s="86"/>
    </row>
    <row r="1964" spans="1:6" x14ac:dyDescent="0.15">
      <c r="A1964" s="86"/>
      <c r="B1964" s="86"/>
      <c r="C1964" s="86"/>
      <c r="D1964" s="86"/>
      <c r="E1964" s="86"/>
      <c r="F1964" s="86"/>
    </row>
    <row r="1965" spans="1:6" x14ac:dyDescent="0.15">
      <c r="A1965" s="86"/>
      <c r="B1965" s="86"/>
      <c r="C1965" s="86"/>
      <c r="D1965" s="86"/>
      <c r="E1965" s="86"/>
      <c r="F1965" s="86"/>
    </row>
    <row r="1966" spans="1:6" x14ac:dyDescent="0.15">
      <c r="A1966" s="86"/>
      <c r="B1966" s="86"/>
      <c r="C1966" s="86"/>
      <c r="D1966" s="86"/>
      <c r="E1966" s="86"/>
      <c r="F1966" s="86"/>
    </row>
    <row r="1967" spans="1:6" x14ac:dyDescent="0.15">
      <c r="A1967" s="86"/>
      <c r="B1967" s="86"/>
      <c r="C1967" s="86"/>
      <c r="D1967" s="86"/>
      <c r="E1967" s="86"/>
      <c r="F1967" s="86"/>
    </row>
    <row r="1968" spans="1:6" x14ac:dyDescent="0.15">
      <c r="A1968" s="86"/>
      <c r="B1968" s="86"/>
      <c r="C1968" s="86"/>
      <c r="D1968" s="86"/>
      <c r="E1968" s="86"/>
      <c r="F1968" s="86"/>
    </row>
    <row r="1969" spans="1:6" x14ac:dyDescent="0.15">
      <c r="A1969" s="86"/>
      <c r="B1969" s="86"/>
      <c r="C1969" s="86"/>
      <c r="D1969" s="86"/>
      <c r="E1969" s="86"/>
      <c r="F1969" s="86"/>
    </row>
    <row r="1970" spans="1:6" x14ac:dyDescent="0.15">
      <c r="A1970" s="86"/>
      <c r="B1970" s="86"/>
      <c r="C1970" s="86"/>
      <c r="D1970" s="86"/>
      <c r="E1970" s="86"/>
      <c r="F1970" s="86"/>
    </row>
    <row r="1971" spans="1:6" x14ac:dyDescent="0.15">
      <c r="A1971" s="86"/>
      <c r="B1971" s="86"/>
      <c r="C1971" s="86"/>
      <c r="D1971" s="86"/>
      <c r="E1971" s="86"/>
      <c r="F1971" s="86"/>
    </row>
    <row r="1972" spans="1:6" x14ac:dyDescent="0.15">
      <c r="A1972" s="86"/>
      <c r="B1972" s="86"/>
      <c r="C1972" s="86"/>
      <c r="D1972" s="86"/>
      <c r="E1972" s="86"/>
      <c r="F1972" s="86"/>
    </row>
    <row r="1973" spans="1:6" x14ac:dyDescent="0.15">
      <c r="A1973" s="86"/>
      <c r="B1973" s="86"/>
      <c r="C1973" s="86"/>
      <c r="D1973" s="86"/>
      <c r="E1973" s="86"/>
      <c r="F1973" s="86"/>
    </row>
    <row r="1974" spans="1:6" x14ac:dyDescent="0.15">
      <c r="A1974" s="86"/>
      <c r="B1974" s="86"/>
      <c r="C1974" s="86"/>
      <c r="D1974" s="86"/>
      <c r="E1974" s="86"/>
      <c r="F1974" s="86"/>
    </row>
    <row r="1975" spans="1:6" x14ac:dyDescent="0.15">
      <c r="A1975" s="86"/>
      <c r="B1975" s="86"/>
      <c r="C1975" s="86"/>
      <c r="D1975" s="86"/>
      <c r="E1975" s="86"/>
      <c r="F1975" s="86"/>
    </row>
    <row r="1976" spans="1:6" x14ac:dyDescent="0.15">
      <c r="A1976" s="86"/>
      <c r="B1976" s="86"/>
      <c r="C1976" s="86"/>
      <c r="D1976" s="86"/>
      <c r="E1976" s="86"/>
      <c r="F1976" s="86"/>
    </row>
    <row r="1977" spans="1:6" x14ac:dyDescent="0.15">
      <c r="A1977" s="86"/>
      <c r="B1977" s="86"/>
      <c r="C1977" s="86"/>
      <c r="D1977" s="86"/>
      <c r="E1977" s="86"/>
      <c r="F1977" s="86"/>
    </row>
    <row r="1978" spans="1:6" x14ac:dyDescent="0.15">
      <c r="A1978" s="86"/>
      <c r="B1978" s="86"/>
      <c r="C1978" s="86"/>
      <c r="D1978" s="86"/>
      <c r="E1978" s="86"/>
      <c r="F1978" s="86"/>
    </row>
    <row r="1979" spans="1:6" x14ac:dyDescent="0.15">
      <c r="A1979" s="86"/>
      <c r="B1979" s="86"/>
      <c r="C1979" s="86"/>
      <c r="D1979" s="86"/>
      <c r="E1979" s="86"/>
      <c r="F1979" s="86"/>
    </row>
    <row r="1980" spans="1:6" x14ac:dyDescent="0.15">
      <c r="A1980" s="86"/>
      <c r="B1980" s="86"/>
      <c r="C1980" s="86"/>
      <c r="D1980" s="86"/>
      <c r="E1980" s="86"/>
      <c r="F1980" s="86"/>
    </row>
    <row r="1981" spans="1:6" x14ac:dyDescent="0.15">
      <c r="A1981" s="86"/>
      <c r="B1981" s="86"/>
      <c r="C1981" s="86"/>
      <c r="D1981" s="86"/>
      <c r="E1981" s="86"/>
      <c r="F1981" s="86"/>
    </row>
    <row r="1982" spans="1:6" x14ac:dyDescent="0.15">
      <c r="A1982" s="86"/>
      <c r="B1982" s="86"/>
      <c r="C1982" s="86"/>
      <c r="D1982" s="86"/>
      <c r="E1982" s="86"/>
      <c r="F1982" s="86"/>
    </row>
    <row r="1983" spans="1:6" x14ac:dyDescent="0.15">
      <c r="A1983" s="86"/>
      <c r="B1983" s="86"/>
      <c r="C1983" s="86"/>
      <c r="D1983" s="86"/>
      <c r="E1983" s="86"/>
      <c r="F1983" s="86"/>
    </row>
    <row r="1984" spans="1:6" x14ac:dyDescent="0.15">
      <c r="A1984" s="86"/>
      <c r="B1984" s="86"/>
      <c r="C1984" s="86"/>
      <c r="D1984" s="86"/>
      <c r="E1984" s="86"/>
      <c r="F1984" s="86"/>
    </row>
    <row r="1985" spans="1:6" x14ac:dyDescent="0.15">
      <c r="A1985" s="86"/>
      <c r="B1985" s="86"/>
      <c r="C1985" s="86"/>
      <c r="D1985" s="86"/>
      <c r="E1985" s="86"/>
      <c r="F1985" s="86"/>
    </row>
    <row r="1986" spans="1:6" x14ac:dyDescent="0.15">
      <c r="A1986" s="86"/>
      <c r="B1986" s="86"/>
      <c r="C1986" s="86"/>
      <c r="D1986" s="86"/>
      <c r="E1986" s="86"/>
      <c r="F1986" s="86"/>
    </row>
    <row r="1987" spans="1:6" x14ac:dyDescent="0.15">
      <c r="A1987" s="86"/>
      <c r="B1987" s="86"/>
      <c r="C1987" s="86"/>
      <c r="D1987" s="86"/>
      <c r="E1987" s="86"/>
      <c r="F1987" s="86"/>
    </row>
    <row r="1988" spans="1:6" x14ac:dyDescent="0.15">
      <c r="A1988" s="86"/>
      <c r="B1988" s="86"/>
      <c r="C1988" s="86"/>
      <c r="D1988" s="86"/>
      <c r="E1988" s="86"/>
      <c r="F1988" s="86"/>
    </row>
    <row r="1989" spans="1:6" x14ac:dyDescent="0.15">
      <c r="A1989" s="86"/>
      <c r="B1989" s="86"/>
      <c r="C1989" s="86"/>
      <c r="D1989" s="86"/>
      <c r="E1989" s="86"/>
      <c r="F1989" s="86"/>
    </row>
    <row r="1990" spans="1:6" x14ac:dyDescent="0.15">
      <c r="A1990" s="86"/>
      <c r="B1990" s="86"/>
      <c r="C1990" s="86"/>
      <c r="D1990" s="86"/>
      <c r="E1990" s="86"/>
      <c r="F1990" s="86"/>
    </row>
    <row r="1991" spans="1:6" x14ac:dyDescent="0.15">
      <c r="A1991" s="86"/>
      <c r="B1991" s="86"/>
      <c r="C1991" s="86"/>
      <c r="D1991" s="86"/>
      <c r="E1991" s="86"/>
      <c r="F1991" s="86"/>
    </row>
    <row r="1992" spans="1:6" x14ac:dyDescent="0.15">
      <c r="A1992" s="86"/>
      <c r="B1992" s="86"/>
      <c r="C1992" s="86"/>
      <c r="D1992" s="86"/>
      <c r="E1992" s="86"/>
      <c r="F1992" s="86"/>
    </row>
    <row r="1993" spans="1:6" x14ac:dyDescent="0.15">
      <c r="A1993" s="86"/>
      <c r="B1993" s="86"/>
      <c r="C1993" s="86"/>
      <c r="D1993" s="86"/>
      <c r="E1993" s="86"/>
      <c r="F1993" s="86"/>
    </row>
    <row r="1994" spans="1:6" x14ac:dyDescent="0.15">
      <c r="A1994" s="86"/>
      <c r="B1994" s="86"/>
      <c r="C1994" s="86"/>
      <c r="D1994" s="86"/>
      <c r="E1994" s="86"/>
      <c r="F1994" s="86"/>
    </row>
    <row r="1995" spans="1:6" x14ac:dyDescent="0.15">
      <c r="A1995" s="86"/>
      <c r="B1995" s="86"/>
      <c r="C1995" s="86"/>
      <c r="D1995" s="86"/>
      <c r="E1995" s="86"/>
      <c r="F1995" s="86"/>
    </row>
    <row r="1996" spans="1:6" x14ac:dyDescent="0.15">
      <c r="A1996" s="86"/>
      <c r="B1996" s="86"/>
      <c r="C1996" s="86"/>
      <c r="D1996" s="86"/>
      <c r="E1996" s="86"/>
      <c r="F1996" s="86"/>
    </row>
    <row r="1997" spans="1:6" x14ac:dyDescent="0.15">
      <c r="A1997" s="86"/>
      <c r="B1997" s="86"/>
      <c r="C1997" s="86"/>
      <c r="D1997" s="86"/>
      <c r="E1997" s="86"/>
      <c r="F1997" s="86"/>
    </row>
    <row r="1998" spans="1:6" x14ac:dyDescent="0.15">
      <c r="A1998" s="86"/>
      <c r="B1998" s="86"/>
      <c r="C1998" s="86"/>
      <c r="D1998" s="86"/>
      <c r="E1998" s="86"/>
      <c r="F1998" s="86"/>
    </row>
    <row r="1999" spans="1:6" x14ac:dyDescent="0.15">
      <c r="A1999" s="86"/>
      <c r="B1999" s="86"/>
      <c r="C1999" s="86"/>
      <c r="D1999" s="86"/>
      <c r="E1999" s="86"/>
      <c r="F1999" s="86"/>
    </row>
    <row r="2000" spans="1:6" x14ac:dyDescent="0.15">
      <c r="A2000" s="86"/>
      <c r="B2000" s="86"/>
      <c r="C2000" s="86"/>
      <c r="D2000" s="86"/>
      <c r="E2000" s="86"/>
      <c r="F2000" s="86"/>
    </row>
    <row r="2001" spans="1:6" x14ac:dyDescent="0.15">
      <c r="A2001" s="86"/>
      <c r="B2001" s="86"/>
      <c r="C2001" s="86"/>
      <c r="D2001" s="86"/>
      <c r="E2001" s="86"/>
      <c r="F2001" s="86"/>
    </row>
    <row r="2002" spans="1:6" x14ac:dyDescent="0.15">
      <c r="A2002" s="86"/>
      <c r="B2002" s="86"/>
      <c r="C2002" s="86"/>
      <c r="D2002" s="86"/>
      <c r="E2002" s="86"/>
      <c r="F2002" s="86"/>
    </row>
    <row r="2003" spans="1:6" x14ac:dyDescent="0.15">
      <c r="A2003" s="86"/>
      <c r="B2003" s="86"/>
      <c r="C2003" s="86"/>
      <c r="D2003" s="86"/>
      <c r="E2003" s="86"/>
      <c r="F2003" s="86"/>
    </row>
    <row r="2004" spans="1:6" x14ac:dyDescent="0.15">
      <c r="A2004" s="86"/>
      <c r="B2004" s="86"/>
      <c r="C2004" s="86"/>
      <c r="D2004" s="86"/>
      <c r="E2004" s="86"/>
      <c r="F2004" s="86"/>
    </row>
    <row r="2005" spans="1:6" x14ac:dyDescent="0.15">
      <c r="A2005" s="86"/>
      <c r="B2005" s="86"/>
      <c r="C2005" s="86"/>
      <c r="D2005" s="86"/>
      <c r="E2005" s="86"/>
      <c r="F2005" s="86"/>
    </row>
    <row r="2006" spans="1:6" x14ac:dyDescent="0.15">
      <c r="A2006" s="86"/>
      <c r="B2006" s="86"/>
      <c r="C2006" s="86"/>
      <c r="D2006" s="86"/>
      <c r="E2006" s="86"/>
      <c r="F2006" s="86"/>
    </row>
    <row r="2007" spans="1:6" x14ac:dyDescent="0.15">
      <c r="A2007" s="86"/>
      <c r="B2007" s="86"/>
      <c r="C2007" s="86"/>
      <c r="D2007" s="86"/>
      <c r="E2007" s="86"/>
      <c r="F2007" s="86"/>
    </row>
    <row r="2008" spans="1:6" x14ac:dyDescent="0.15">
      <c r="A2008" s="86"/>
      <c r="B2008" s="86"/>
      <c r="C2008" s="86"/>
      <c r="D2008" s="86"/>
      <c r="E2008" s="86"/>
      <c r="F2008" s="86"/>
    </row>
    <row r="2009" spans="1:6" x14ac:dyDescent="0.15">
      <c r="A2009" s="86"/>
      <c r="B2009" s="86"/>
      <c r="C2009" s="86"/>
      <c r="D2009" s="86"/>
      <c r="E2009" s="86"/>
      <c r="F2009" s="86"/>
    </row>
    <row r="2010" spans="1:6" x14ac:dyDescent="0.15">
      <c r="A2010" s="86"/>
      <c r="B2010" s="86"/>
      <c r="C2010" s="86"/>
      <c r="D2010" s="86"/>
      <c r="E2010" s="86"/>
      <c r="F2010" s="86"/>
    </row>
    <row r="2011" spans="1:6" x14ac:dyDescent="0.15">
      <c r="A2011" s="86"/>
      <c r="B2011" s="86"/>
      <c r="C2011" s="86"/>
      <c r="D2011" s="86"/>
      <c r="E2011" s="86"/>
      <c r="F2011" s="86"/>
    </row>
    <row r="2012" spans="1:6" x14ac:dyDescent="0.15">
      <c r="A2012" s="86"/>
      <c r="B2012" s="86"/>
      <c r="C2012" s="86"/>
      <c r="D2012" s="86"/>
      <c r="E2012" s="86"/>
      <c r="F2012" s="86"/>
    </row>
    <row r="2013" spans="1:6" x14ac:dyDescent="0.15">
      <c r="A2013" s="86"/>
      <c r="B2013" s="86"/>
      <c r="C2013" s="86"/>
      <c r="D2013" s="86"/>
      <c r="E2013" s="86"/>
      <c r="F2013" s="86"/>
    </row>
    <row r="2014" spans="1:6" x14ac:dyDescent="0.15">
      <c r="A2014" s="86"/>
      <c r="B2014" s="86"/>
      <c r="C2014" s="86"/>
      <c r="D2014" s="86"/>
      <c r="E2014" s="86"/>
      <c r="F2014" s="86"/>
    </row>
    <row r="2015" spans="1:6" x14ac:dyDescent="0.15">
      <c r="A2015" s="86"/>
      <c r="B2015" s="86"/>
      <c r="C2015" s="86"/>
      <c r="D2015" s="86"/>
      <c r="E2015" s="86"/>
      <c r="F2015" s="86"/>
    </row>
    <row r="2016" spans="1:6" x14ac:dyDescent="0.15">
      <c r="A2016" s="86"/>
      <c r="B2016" s="86"/>
      <c r="C2016" s="86"/>
      <c r="D2016" s="86"/>
      <c r="E2016" s="86"/>
      <c r="F2016" s="86"/>
    </row>
    <row r="2017" spans="1:6" x14ac:dyDescent="0.15">
      <c r="A2017" s="86"/>
      <c r="B2017" s="86"/>
      <c r="C2017" s="86"/>
      <c r="D2017" s="86"/>
      <c r="E2017" s="86"/>
      <c r="F2017" s="86"/>
    </row>
    <row r="2018" spans="1:6" x14ac:dyDescent="0.15">
      <c r="A2018" s="86"/>
      <c r="B2018" s="86"/>
      <c r="C2018" s="86"/>
      <c r="D2018" s="86"/>
      <c r="E2018" s="86"/>
      <c r="F2018" s="86"/>
    </row>
    <row r="2019" spans="1:6" x14ac:dyDescent="0.15">
      <c r="A2019" s="86"/>
      <c r="B2019" s="86"/>
      <c r="C2019" s="86"/>
      <c r="D2019" s="86"/>
      <c r="E2019" s="86"/>
      <c r="F2019" s="86"/>
    </row>
    <row r="2020" spans="1:6" x14ac:dyDescent="0.15">
      <c r="A2020" s="86"/>
      <c r="B2020" s="86"/>
      <c r="C2020" s="86"/>
      <c r="D2020" s="86"/>
      <c r="E2020" s="86"/>
      <c r="F2020" s="86"/>
    </row>
    <row r="2021" spans="1:6" x14ac:dyDescent="0.15">
      <c r="A2021" s="86"/>
      <c r="B2021" s="86"/>
      <c r="C2021" s="86"/>
      <c r="D2021" s="86"/>
      <c r="E2021" s="86"/>
      <c r="F2021" s="86"/>
    </row>
    <row r="2022" spans="1:6" x14ac:dyDescent="0.15">
      <c r="A2022" s="86"/>
      <c r="B2022" s="86"/>
      <c r="C2022" s="86"/>
      <c r="D2022" s="86"/>
      <c r="E2022" s="86"/>
      <c r="F2022" s="86"/>
    </row>
    <row r="2023" spans="1:6" x14ac:dyDescent="0.15">
      <c r="A2023" s="86"/>
      <c r="B2023" s="86"/>
      <c r="C2023" s="86"/>
      <c r="D2023" s="86"/>
      <c r="E2023" s="86"/>
      <c r="F2023" s="86"/>
    </row>
    <row r="2024" spans="1:6" x14ac:dyDescent="0.15">
      <c r="A2024" s="86"/>
      <c r="B2024" s="86"/>
      <c r="C2024" s="86"/>
      <c r="D2024" s="86"/>
      <c r="E2024" s="86"/>
      <c r="F2024" s="86"/>
    </row>
    <row r="2025" spans="1:6" x14ac:dyDescent="0.15">
      <c r="A2025" s="86"/>
      <c r="B2025" s="86"/>
      <c r="C2025" s="86"/>
      <c r="D2025" s="86"/>
      <c r="E2025" s="86"/>
      <c r="F2025" s="86"/>
    </row>
    <row r="2026" spans="1:6" x14ac:dyDescent="0.15">
      <c r="A2026" s="86"/>
      <c r="B2026" s="86"/>
      <c r="C2026" s="86"/>
      <c r="D2026" s="86"/>
      <c r="E2026" s="86"/>
      <c r="F2026" s="86"/>
    </row>
    <row r="2027" spans="1:6" x14ac:dyDescent="0.15">
      <c r="A2027" s="86"/>
      <c r="B2027" s="86"/>
      <c r="C2027" s="86"/>
      <c r="D2027" s="86"/>
      <c r="E2027" s="86"/>
      <c r="F2027" s="86"/>
    </row>
    <row r="2028" spans="1:6" x14ac:dyDescent="0.15">
      <c r="A2028" s="86"/>
      <c r="B2028" s="86"/>
      <c r="C2028" s="86"/>
      <c r="D2028" s="86"/>
      <c r="E2028" s="86"/>
      <c r="F2028" s="86"/>
    </row>
    <row r="2029" spans="1:6" x14ac:dyDescent="0.15">
      <c r="A2029" s="86"/>
      <c r="B2029" s="86"/>
      <c r="C2029" s="86"/>
      <c r="D2029" s="86"/>
      <c r="E2029" s="86"/>
      <c r="F2029" s="86"/>
    </row>
    <row r="2030" spans="1:6" x14ac:dyDescent="0.15">
      <c r="A2030" s="86"/>
      <c r="B2030" s="86"/>
      <c r="C2030" s="86"/>
      <c r="D2030" s="86"/>
      <c r="E2030" s="86"/>
      <c r="F2030" s="86"/>
    </row>
    <row r="2031" spans="1:6" x14ac:dyDescent="0.15">
      <c r="A2031" s="86"/>
      <c r="B2031" s="86"/>
      <c r="C2031" s="86"/>
      <c r="D2031" s="86"/>
      <c r="E2031" s="86"/>
      <c r="F2031" s="86"/>
    </row>
    <row r="2032" spans="1:6" x14ac:dyDescent="0.15">
      <c r="A2032" s="86"/>
      <c r="B2032" s="86"/>
      <c r="C2032" s="86"/>
      <c r="D2032" s="86"/>
      <c r="E2032" s="86"/>
      <c r="F2032" s="86"/>
    </row>
    <row r="2033" spans="1:6" x14ac:dyDescent="0.15">
      <c r="A2033" s="86"/>
      <c r="B2033" s="86"/>
      <c r="C2033" s="86"/>
      <c r="D2033" s="86"/>
      <c r="E2033" s="86"/>
      <c r="F2033" s="86"/>
    </row>
    <row r="2034" spans="1:6" x14ac:dyDescent="0.15">
      <c r="A2034" s="86"/>
      <c r="B2034" s="86"/>
      <c r="C2034" s="86"/>
      <c r="D2034" s="86"/>
      <c r="E2034" s="86"/>
      <c r="F2034" s="86"/>
    </row>
    <row r="2035" spans="1:6" x14ac:dyDescent="0.15">
      <c r="A2035" s="86"/>
      <c r="B2035" s="86"/>
      <c r="C2035" s="86"/>
      <c r="D2035" s="86"/>
      <c r="E2035" s="86"/>
      <c r="F2035" s="86"/>
    </row>
    <row r="2036" spans="1:6" x14ac:dyDescent="0.15">
      <c r="A2036" s="86"/>
      <c r="B2036" s="86"/>
      <c r="C2036" s="86"/>
      <c r="D2036" s="86"/>
      <c r="E2036" s="86"/>
      <c r="F2036" s="86"/>
    </row>
    <row r="2037" spans="1:6" x14ac:dyDescent="0.15">
      <c r="A2037" s="86"/>
      <c r="B2037" s="86"/>
      <c r="C2037" s="86"/>
      <c r="D2037" s="86"/>
      <c r="E2037" s="86"/>
      <c r="F2037" s="86"/>
    </row>
    <row r="2038" spans="1:6" x14ac:dyDescent="0.15">
      <c r="A2038" s="86"/>
      <c r="B2038" s="86"/>
      <c r="C2038" s="86"/>
      <c r="D2038" s="86"/>
      <c r="E2038" s="86"/>
      <c r="F2038" s="86"/>
    </row>
    <row r="2039" spans="1:6" x14ac:dyDescent="0.15">
      <c r="A2039" s="86"/>
      <c r="B2039" s="86"/>
      <c r="C2039" s="86"/>
      <c r="D2039" s="86"/>
      <c r="E2039" s="86"/>
      <c r="F2039" s="86"/>
    </row>
    <row r="2040" spans="1:6" x14ac:dyDescent="0.15">
      <c r="A2040" s="86"/>
      <c r="B2040" s="86"/>
      <c r="C2040" s="86"/>
      <c r="D2040" s="86"/>
      <c r="E2040" s="86"/>
      <c r="F2040" s="86"/>
    </row>
    <row r="2041" spans="1:6" x14ac:dyDescent="0.15">
      <c r="A2041" s="86"/>
      <c r="B2041" s="86"/>
      <c r="C2041" s="86"/>
      <c r="D2041" s="86"/>
      <c r="E2041" s="86"/>
      <c r="F2041" s="86"/>
    </row>
    <row r="2042" spans="1:6" x14ac:dyDescent="0.15">
      <c r="A2042" s="86"/>
      <c r="B2042" s="86"/>
      <c r="C2042" s="86"/>
      <c r="D2042" s="86"/>
      <c r="E2042" s="86"/>
      <c r="F2042" s="86"/>
    </row>
    <row r="2043" spans="1:6" x14ac:dyDescent="0.15">
      <c r="A2043" s="86"/>
      <c r="B2043" s="86"/>
      <c r="C2043" s="86"/>
      <c r="D2043" s="86"/>
      <c r="E2043" s="86"/>
      <c r="F2043" s="86"/>
    </row>
    <row r="2044" spans="1:6" x14ac:dyDescent="0.15">
      <c r="A2044" s="86"/>
      <c r="B2044" s="86"/>
      <c r="C2044" s="86"/>
      <c r="D2044" s="86"/>
      <c r="E2044" s="86"/>
      <c r="F2044" s="86"/>
    </row>
    <row r="2045" spans="1:6" x14ac:dyDescent="0.15">
      <c r="A2045" s="86"/>
      <c r="B2045" s="86"/>
      <c r="C2045" s="86"/>
      <c r="D2045" s="86"/>
      <c r="E2045" s="86"/>
      <c r="F2045" s="86"/>
    </row>
    <row r="2046" spans="1:6" x14ac:dyDescent="0.15">
      <c r="A2046" s="86"/>
      <c r="B2046" s="86"/>
      <c r="C2046" s="86"/>
      <c r="D2046" s="86"/>
      <c r="E2046" s="86"/>
      <c r="F2046" s="86"/>
    </row>
    <row r="2047" spans="1:6" x14ac:dyDescent="0.15">
      <c r="A2047" s="86"/>
      <c r="B2047" s="86"/>
      <c r="C2047" s="86"/>
      <c r="D2047" s="86"/>
      <c r="E2047" s="86"/>
      <c r="F2047" s="86"/>
    </row>
    <row r="2048" spans="1:6" x14ac:dyDescent="0.15">
      <c r="A2048" s="86"/>
      <c r="B2048" s="86"/>
      <c r="C2048" s="86"/>
      <c r="D2048" s="86"/>
      <c r="E2048" s="86"/>
      <c r="F2048" s="86"/>
    </row>
    <row r="2049" spans="1:6" x14ac:dyDescent="0.15">
      <c r="A2049" s="86"/>
      <c r="B2049" s="86"/>
      <c r="C2049" s="86"/>
      <c r="D2049" s="86"/>
      <c r="E2049" s="86"/>
      <c r="F2049" s="86"/>
    </row>
    <row r="2050" spans="1:6" x14ac:dyDescent="0.15">
      <c r="A2050" s="86"/>
      <c r="B2050" s="86"/>
      <c r="C2050" s="86"/>
      <c r="D2050" s="86"/>
      <c r="E2050" s="86"/>
      <c r="F2050" s="86"/>
    </row>
    <row r="2051" spans="1:6" x14ac:dyDescent="0.15">
      <c r="A2051" s="86"/>
      <c r="B2051" s="86"/>
      <c r="C2051" s="86"/>
      <c r="D2051" s="86"/>
      <c r="E2051" s="86"/>
      <c r="F2051" s="86"/>
    </row>
    <row r="2052" spans="1:6" x14ac:dyDescent="0.15">
      <c r="A2052" s="86"/>
      <c r="B2052" s="86"/>
      <c r="C2052" s="86"/>
      <c r="D2052" s="86"/>
      <c r="E2052" s="86"/>
      <c r="F2052" s="86"/>
    </row>
    <row r="2053" spans="1:6" x14ac:dyDescent="0.15">
      <c r="A2053" s="86"/>
      <c r="B2053" s="86"/>
      <c r="C2053" s="86"/>
      <c r="D2053" s="86"/>
      <c r="E2053" s="86"/>
      <c r="F2053" s="86"/>
    </row>
    <row r="2054" spans="1:6" x14ac:dyDescent="0.15">
      <c r="A2054" s="86"/>
      <c r="B2054" s="86"/>
      <c r="C2054" s="86"/>
      <c r="D2054" s="86"/>
      <c r="E2054" s="86"/>
      <c r="F2054" s="86"/>
    </row>
    <row r="2055" spans="1:6" x14ac:dyDescent="0.15">
      <c r="A2055" s="86"/>
      <c r="B2055" s="86"/>
      <c r="C2055" s="86"/>
      <c r="D2055" s="86"/>
      <c r="E2055" s="86"/>
      <c r="F2055" s="86"/>
    </row>
    <row r="2056" spans="1:6" x14ac:dyDescent="0.15">
      <c r="A2056" s="86"/>
      <c r="B2056" s="86"/>
      <c r="C2056" s="86"/>
      <c r="D2056" s="86"/>
      <c r="E2056" s="86"/>
      <c r="F2056" s="86"/>
    </row>
    <row r="2057" spans="1:6" x14ac:dyDescent="0.15">
      <c r="A2057" s="86"/>
      <c r="B2057" s="86"/>
      <c r="C2057" s="86"/>
      <c r="D2057" s="86"/>
      <c r="E2057" s="86"/>
      <c r="F2057" s="86"/>
    </row>
    <row r="2058" spans="1:6" x14ac:dyDescent="0.15">
      <c r="A2058" s="86"/>
      <c r="B2058" s="86"/>
      <c r="C2058" s="86"/>
      <c r="D2058" s="86"/>
      <c r="E2058" s="86"/>
      <c r="F2058" s="86"/>
    </row>
    <row r="2059" spans="1:6" x14ac:dyDescent="0.15">
      <c r="A2059" s="86"/>
      <c r="B2059" s="86"/>
      <c r="C2059" s="86"/>
      <c r="D2059" s="86"/>
      <c r="E2059" s="86"/>
      <c r="F2059" s="86"/>
    </row>
    <row r="2060" spans="1:6" x14ac:dyDescent="0.15">
      <c r="A2060" s="86"/>
      <c r="B2060" s="86"/>
      <c r="C2060" s="86"/>
      <c r="D2060" s="86"/>
      <c r="E2060" s="86"/>
      <c r="F2060" s="86"/>
    </row>
    <row r="2061" spans="1:6" x14ac:dyDescent="0.15">
      <c r="A2061" s="86"/>
      <c r="B2061" s="86"/>
      <c r="C2061" s="86"/>
      <c r="D2061" s="86"/>
      <c r="E2061" s="86"/>
      <c r="F2061" s="86"/>
    </row>
    <row r="2062" spans="1:6" x14ac:dyDescent="0.15">
      <c r="A2062" s="86"/>
      <c r="B2062" s="86"/>
      <c r="C2062" s="86"/>
      <c r="D2062" s="86"/>
      <c r="E2062" s="86"/>
      <c r="F2062" s="86"/>
    </row>
    <row r="2063" spans="1:6" x14ac:dyDescent="0.15">
      <c r="A2063" s="86"/>
      <c r="B2063" s="86"/>
      <c r="C2063" s="86"/>
      <c r="D2063" s="86"/>
      <c r="E2063" s="86"/>
      <c r="F2063" s="86"/>
    </row>
    <row r="2064" spans="1:6" x14ac:dyDescent="0.15">
      <c r="A2064" s="86"/>
      <c r="B2064" s="86"/>
      <c r="C2064" s="86"/>
      <c r="D2064" s="86"/>
      <c r="E2064" s="86"/>
      <c r="F2064" s="86"/>
    </row>
    <row r="2065" spans="1:6" x14ac:dyDescent="0.15">
      <c r="A2065" s="86"/>
      <c r="B2065" s="86"/>
      <c r="C2065" s="86"/>
      <c r="D2065" s="86"/>
      <c r="E2065" s="86"/>
      <c r="F2065" s="86"/>
    </row>
    <row r="2066" spans="1:6" x14ac:dyDescent="0.15">
      <c r="A2066" s="86"/>
      <c r="B2066" s="86"/>
      <c r="C2066" s="86"/>
      <c r="D2066" s="86"/>
      <c r="E2066" s="86"/>
      <c r="F2066" s="86"/>
    </row>
    <row r="2067" spans="1:6" x14ac:dyDescent="0.15">
      <c r="A2067" s="86"/>
      <c r="B2067" s="86"/>
      <c r="C2067" s="86"/>
      <c r="D2067" s="86"/>
      <c r="E2067" s="86"/>
      <c r="F2067" s="86"/>
    </row>
    <row r="2068" spans="1:6" x14ac:dyDescent="0.15">
      <c r="A2068" s="86"/>
      <c r="B2068" s="86"/>
      <c r="C2068" s="86"/>
      <c r="D2068" s="86"/>
      <c r="E2068" s="86"/>
      <c r="F2068" s="86"/>
    </row>
    <row r="2069" spans="1:6" x14ac:dyDescent="0.15">
      <c r="A2069" s="86"/>
      <c r="B2069" s="86"/>
      <c r="C2069" s="86"/>
      <c r="D2069" s="86"/>
      <c r="E2069" s="86"/>
      <c r="F2069" s="86"/>
    </row>
    <row r="2070" spans="1:6" x14ac:dyDescent="0.15">
      <c r="A2070" s="86"/>
      <c r="B2070" s="86"/>
      <c r="C2070" s="86"/>
      <c r="D2070" s="86"/>
      <c r="E2070" s="86"/>
      <c r="F2070" s="86"/>
    </row>
    <row r="2071" spans="1:6" x14ac:dyDescent="0.15">
      <c r="A2071" s="86"/>
      <c r="B2071" s="86"/>
      <c r="C2071" s="86"/>
      <c r="D2071" s="86"/>
      <c r="E2071" s="86"/>
      <c r="F2071" s="86"/>
    </row>
    <row r="2072" spans="1:6" x14ac:dyDescent="0.15">
      <c r="A2072" s="86"/>
      <c r="B2072" s="86"/>
      <c r="C2072" s="86"/>
      <c r="D2072" s="86"/>
      <c r="E2072" s="86"/>
      <c r="F2072" s="86"/>
    </row>
    <row r="2073" spans="1:6" x14ac:dyDescent="0.15">
      <c r="A2073" s="86"/>
      <c r="B2073" s="86"/>
      <c r="C2073" s="86"/>
      <c r="D2073" s="86"/>
      <c r="E2073" s="86"/>
      <c r="F2073" s="86"/>
    </row>
    <row r="2074" spans="1:6" x14ac:dyDescent="0.15">
      <c r="A2074" s="86"/>
      <c r="B2074" s="86"/>
      <c r="C2074" s="86"/>
      <c r="D2074" s="86"/>
      <c r="E2074" s="86"/>
      <c r="F2074" s="86"/>
    </row>
    <row r="2075" spans="1:6" x14ac:dyDescent="0.15">
      <c r="A2075" s="86"/>
      <c r="B2075" s="86"/>
      <c r="C2075" s="86"/>
      <c r="D2075" s="86"/>
      <c r="E2075" s="86"/>
      <c r="F2075" s="86"/>
    </row>
    <row r="2076" spans="1:6" x14ac:dyDescent="0.15">
      <c r="A2076" s="86"/>
      <c r="B2076" s="86"/>
      <c r="C2076" s="86"/>
      <c r="D2076" s="86"/>
      <c r="E2076" s="86"/>
      <c r="F2076" s="86"/>
    </row>
    <row r="2077" spans="1:6" x14ac:dyDescent="0.15">
      <c r="A2077" s="86"/>
      <c r="B2077" s="86"/>
      <c r="C2077" s="86"/>
      <c r="D2077" s="86"/>
      <c r="E2077" s="86"/>
      <c r="F2077" s="86"/>
    </row>
  </sheetData>
  <printOptions horizontalCentered="1"/>
  <pageMargins left="0.5" right="0.5" top="1.25" bottom="0.5" header="0.5" footer="0.5"/>
  <pageSetup scale="77" fitToHeight="0" orientation="portrait" r:id="rId1"/>
  <headerFooter>
    <oddHeader>&amp;L
  &amp;"Times New Roman,Regular"(Dollars in Thousands)&amp;C&amp;"Times New Roman,Regular"
Berkeley
CURRENT FUNDS EXPENDITURES BY DEPARTMENT&amp;R
&amp;"Times New Roman,Regular"2014-15 Schedule 1-C</oddHeader>
  </headerFooter>
  <rowBreaks count="15" manualBreakCount="15">
    <brk id="62" max="17" man="1"/>
    <brk id="122" max="17" man="1"/>
    <brk id="183" max="17" man="1"/>
    <brk id="244" max="17" man="1"/>
    <brk id="305" max="17" man="1"/>
    <brk id="366" max="17" man="1"/>
    <brk id="426" max="17" man="1"/>
    <brk id="487" max="17" man="1"/>
    <brk id="546" max="17" man="1"/>
    <brk id="604" max="17" man="1"/>
    <brk id="665" max="17" man="1"/>
    <brk id="726" max="17" man="1"/>
    <brk id="786" max="17" man="1"/>
    <brk id="846" max="17" man="1"/>
    <brk id="907" max="1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66181-D126-D348-85BD-775337D3FEFB}">
  <dimension ref="A1:T966"/>
  <sheetViews>
    <sheetView view="pageBreakPreview" topLeftCell="A363" zoomScale="145" zoomScaleNormal="100" zoomScaleSheetLayoutView="145" workbookViewId="0">
      <selection activeCell="T22" sqref="T22"/>
    </sheetView>
  </sheetViews>
  <sheetFormatPr baseColWidth="10" defaultColWidth="11.6640625" defaultRowHeight="13" x14ac:dyDescent="0.15"/>
  <cols>
    <col min="1" max="4" width="1.6640625" style="53" customWidth="1"/>
    <col min="5" max="5" width="29" style="52" customWidth="1"/>
    <col min="6" max="6" width="11.5" style="75" bestFit="1" customWidth="1"/>
    <col min="7" max="7" width="1.1640625" style="86" customWidth="1"/>
    <col min="8" max="8" width="10.83203125" style="86" bestFit="1" customWidth="1"/>
    <col min="9" max="9" width="1.1640625" style="86" customWidth="1"/>
    <col min="10" max="10" width="11.5" style="86" customWidth="1"/>
    <col min="11" max="11" width="1.1640625" style="86" customWidth="1"/>
    <col min="12" max="12" width="11.1640625" style="86" bestFit="1" customWidth="1"/>
    <col min="13" max="13" width="1.1640625" style="86" customWidth="1"/>
    <col min="14" max="14" width="12" style="86" bestFit="1" customWidth="1"/>
    <col min="15" max="15" width="1.1640625" style="86" customWidth="1"/>
    <col min="16" max="16" width="12" style="86" bestFit="1" customWidth="1"/>
    <col min="17" max="17" width="1.1640625" style="86" customWidth="1"/>
    <col min="18" max="18" width="10.6640625" style="86" bestFit="1" customWidth="1"/>
    <col min="19" max="19" width="0.33203125" style="86" customWidth="1"/>
    <col min="20" max="16384" width="11.6640625" style="86"/>
  </cols>
  <sheetData>
    <row r="1" spans="1:18" s="69" customFormat="1" ht="21.75" customHeight="1" x14ac:dyDescent="0.15">
      <c r="A1" s="64"/>
      <c r="B1" s="64"/>
      <c r="C1" s="64"/>
      <c r="D1" s="64"/>
      <c r="E1" s="63"/>
      <c r="F1" s="65"/>
      <c r="G1" s="66"/>
      <c r="H1" s="67" t="s">
        <v>0</v>
      </c>
      <c r="I1" s="67"/>
      <c r="J1" s="68"/>
      <c r="K1" s="67"/>
      <c r="L1" s="67"/>
      <c r="M1" s="66"/>
      <c r="N1" s="67" t="s">
        <v>1</v>
      </c>
      <c r="O1" s="67"/>
      <c r="P1" s="68"/>
      <c r="Q1" s="67"/>
      <c r="R1" s="67"/>
    </row>
    <row r="2" spans="1:18" s="71" customFormat="1" ht="32" customHeight="1" x14ac:dyDescent="0.15">
      <c r="A2" s="60"/>
      <c r="B2" s="60"/>
      <c r="C2" s="60"/>
      <c r="D2" s="60"/>
      <c r="E2" s="59"/>
      <c r="F2" s="70" t="s">
        <v>3</v>
      </c>
      <c r="H2" s="72" t="s">
        <v>4</v>
      </c>
      <c r="I2" s="72"/>
      <c r="J2" s="72"/>
      <c r="K2" s="73"/>
      <c r="L2" s="74" t="s">
        <v>5</v>
      </c>
      <c r="M2" s="73"/>
      <c r="N2" s="74" t="s">
        <v>6</v>
      </c>
      <c r="O2" s="73"/>
      <c r="P2" s="74" t="s">
        <v>7</v>
      </c>
      <c r="Q2" s="73"/>
      <c r="R2" s="74" t="s">
        <v>8</v>
      </c>
    </row>
    <row r="3" spans="1:18" s="69" customFormat="1" ht="21.5" customHeight="1" x14ac:dyDescent="0.15">
      <c r="A3" s="53"/>
      <c r="B3" s="53"/>
      <c r="C3" s="53"/>
      <c r="D3" s="53"/>
      <c r="E3" s="52"/>
      <c r="F3" s="75"/>
      <c r="H3" s="76" t="s">
        <v>9</v>
      </c>
      <c r="I3" s="77"/>
      <c r="J3" s="76" t="s">
        <v>10</v>
      </c>
      <c r="K3" s="77"/>
      <c r="M3" s="77"/>
      <c r="N3" s="78"/>
      <c r="O3" s="78"/>
      <c r="P3" s="78"/>
      <c r="Q3" s="78"/>
      <c r="R3" s="78"/>
    </row>
    <row r="4" spans="1:18" ht="16" x14ac:dyDescent="0.3">
      <c r="A4" s="79" t="s">
        <v>11</v>
      </c>
      <c r="B4" s="80"/>
      <c r="C4" s="80"/>
      <c r="D4" s="80"/>
      <c r="E4" s="81"/>
      <c r="F4" s="82"/>
      <c r="G4" s="83"/>
      <c r="H4" s="84"/>
      <c r="I4" s="85"/>
      <c r="J4" s="84"/>
      <c r="K4" s="85"/>
      <c r="L4" s="84"/>
      <c r="M4" s="85"/>
      <c r="N4" s="85"/>
      <c r="O4" s="85"/>
      <c r="P4" s="85"/>
      <c r="Q4" s="85"/>
    </row>
    <row r="5" spans="1:18" ht="16" x14ac:dyDescent="0.3">
      <c r="A5" s="79"/>
      <c r="B5" s="79" t="s">
        <v>12</v>
      </c>
      <c r="C5" s="80"/>
      <c r="D5" s="80"/>
      <c r="E5" s="81"/>
      <c r="F5" s="82"/>
      <c r="G5" s="83"/>
      <c r="H5" s="84"/>
      <c r="I5" s="85"/>
      <c r="J5" s="84"/>
      <c r="K5" s="85"/>
      <c r="L5" s="84"/>
      <c r="M5" s="85"/>
      <c r="N5" s="85"/>
      <c r="O5" s="85"/>
      <c r="P5" s="85"/>
      <c r="Q5" s="85"/>
    </row>
    <row r="6" spans="1:18" ht="12.75" customHeight="1" x14ac:dyDescent="0.15">
      <c r="A6" s="52"/>
      <c r="B6" s="87"/>
      <c r="C6" s="87"/>
      <c r="D6" s="87"/>
      <c r="E6" s="88"/>
      <c r="G6" s="83"/>
      <c r="H6" s="83"/>
      <c r="I6" s="89"/>
      <c r="J6" s="83"/>
      <c r="K6" s="89"/>
      <c r="L6" s="83"/>
      <c r="M6" s="89"/>
      <c r="N6" s="89"/>
      <c r="O6" s="89"/>
      <c r="P6" s="89"/>
      <c r="Q6" s="89"/>
    </row>
    <row r="7" spans="1:18" ht="16.5" customHeight="1" x14ac:dyDescent="0.15">
      <c r="A7" s="87"/>
      <c r="B7" s="52" t="s">
        <v>13</v>
      </c>
      <c r="C7" s="88"/>
      <c r="D7" s="88"/>
      <c r="G7" s="83"/>
      <c r="H7" s="83"/>
      <c r="I7" s="89"/>
      <c r="J7" s="83"/>
      <c r="K7" s="89"/>
      <c r="L7" s="90"/>
      <c r="M7" s="89"/>
      <c r="N7" s="89"/>
      <c r="O7" s="89"/>
      <c r="P7" s="89"/>
      <c r="Q7" s="89"/>
    </row>
    <row r="8" spans="1:18" x14ac:dyDescent="0.15">
      <c r="A8" s="88"/>
      <c r="B8" s="88"/>
      <c r="C8" s="52" t="s">
        <v>14</v>
      </c>
      <c r="D8" s="52"/>
      <c r="E8" s="91"/>
      <c r="F8" s="46">
        <f t="shared" ref="F8:F14" si="0">SUM(H8:L8)</f>
        <v>140000</v>
      </c>
      <c r="G8" s="92"/>
      <c r="H8" s="46">
        <v>0</v>
      </c>
      <c r="I8" s="93"/>
      <c r="J8" s="46">
        <v>67000</v>
      </c>
      <c r="K8" s="93"/>
      <c r="L8" s="46">
        <v>73000</v>
      </c>
      <c r="M8" s="93"/>
      <c r="N8" s="46">
        <v>102000</v>
      </c>
      <c r="O8" s="93"/>
      <c r="P8" s="46">
        <v>38000</v>
      </c>
      <c r="Q8" s="93"/>
      <c r="R8" s="46">
        <v>0</v>
      </c>
    </row>
    <row r="9" spans="1:18" x14ac:dyDescent="0.15">
      <c r="A9" s="88"/>
      <c r="B9" s="88"/>
      <c r="C9" s="52" t="s">
        <v>15</v>
      </c>
      <c r="D9" s="52"/>
      <c r="E9" s="91"/>
      <c r="F9" s="75">
        <f t="shared" si="0"/>
        <v>2000</v>
      </c>
      <c r="G9" s="92"/>
      <c r="H9" s="90">
        <v>0</v>
      </c>
      <c r="I9" s="93"/>
      <c r="J9" s="90">
        <v>0</v>
      </c>
      <c r="K9" s="93"/>
      <c r="L9" s="90">
        <v>2000</v>
      </c>
      <c r="M9" s="93"/>
      <c r="N9" s="90">
        <v>0</v>
      </c>
      <c r="O9" s="93"/>
      <c r="P9" s="90">
        <v>2000</v>
      </c>
      <c r="Q9" s="93"/>
      <c r="R9" s="90">
        <v>0</v>
      </c>
    </row>
    <row r="10" spans="1:18" x14ac:dyDescent="0.15">
      <c r="A10" s="88"/>
      <c r="B10" s="88"/>
      <c r="C10" s="52" t="s">
        <v>16</v>
      </c>
      <c r="D10" s="52"/>
      <c r="E10" s="91"/>
      <c r="F10" s="75">
        <f t="shared" si="0"/>
        <v>51000</v>
      </c>
      <c r="G10" s="92"/>
      <c r="H10" s="90">
        <v>28000</v>
      </c>
      <c r="I10" s="93"/>
      <c r="J10" s="90">
        <v>0</v>
      </c>
      <c r="K10" s="93"/>
      <c r="L10" s="90">
        <v>23000</v>
      </c>
      <c r="M10" s="93"/>
      <c r="N10" s="90">
        <v>13000</v>
      </c>
      <c r="O10" s="93"/>
      <c r="P10" s="90">
        <v>38000</v>
      </c>
      <c r="Q10" s="93"/>
      <c r="R10" s="90">
        <v>0</v>
      </c>
    </row>
    <row r="11" spans="1:18" x14ac:dyDescent="0.15">
      <c r="A11" s="88"/>
      <c r="B11" s="88"/>
      <c r="C11" s="52" t="s">
        <v>17</v>
      </c>
      <c r="D11" s="52"/>
      <c r="E11" s="91"/>
      <c r="F11" s="75">
        <f t="shared" si="0"/>
        <v>74000</v>
      </c>
      <c r="G11" s="92"/>
      <c r="H11" s="90">
        <v>8000</v>
      </c>
      <c r="I11" s="93"/>
      <c r="J11" s="90">
        <v>45000</v>
      </c>
      <c r="K11" s="93"/>
      <c r="L11" s="90">
        <v>21000</v>
      </c>
      <c r="M11" s="93"/>
      <c r="N11" s="90">
        <v>9000</v>
      </c>
      <c r="O11" s="93"/>
      <c r="P11" s="90">
        <v>65000</v>
      </c>
      <c r="Q11" s="93"/>
      <c r="R11" s="90">
        <v>0</v>
      </c>
    </row>
    <row r="12" spans="1:18" x14ac:dyDescent="0.15">
      <c r="A12" s="87"/>
      <c r="B12" s="87"/>
      <c r="C12" s="52" t="s">
        <v>18</v>
      </c>
      <c r="D12" s="52"/>
      <c r="E12" s="91"/>
      <c r="F12" s="75">
        <f t="shared" si="0"/>
        <v>10000</v>
      </c>
      <c r="G12" s="92"/>
      <c r="H12" s="90">
        <v>0</v>
      </c>
      <c r="I12" s="93"/>
      <c r="J12" s="90">
        <v>2000</v>
      </c>
      <c r="K12" s="93"/>
      <c r="L12" s="90">
        <v>8000</v>
      </c>
      <c r="M12" s="93"/>
      <c r="N12" s="90">
        <v>0</v>
      </c>
      <c r="O12" s="93"/>
      <c r="P12" s="90">
        <v>10000</v>
      </c>
      <c r="Q12" s="93"/>
      <c r="R12" s="90">
        <v>0</v>
      </c>
    </row>
    <row r="13" spans="1:18" x14ac:dyDescent="0.15">
      <c r="A13" s="87"/>
      <c r="B13" s="87"/>
      <c r="C13" s="52" t="s">
        <v>19</v>
      </c>
      <c r="D13" s="52"/>
      <c r="E13" s="91"/>
      <c r="F13" s="75">
        <f t="shared" si="0"/>
        <v>19000</v>
      </c>
      <c r="G13" s="92"/>
      <c r="H13" s="90">
        <v>0</v>
      </c>
      <c r="I13" s="93"/>
      <c r="J13" s="90">
        <v>19000</v>
      </c>
      <c r="K13" s="93"/>
      <c r="L13" s="90">
        <v>0</v>
      </c>
      <c r="M13" s="93"/>
      <c r="N13" s="90">
        <v>9000</v>
      </c>
      <c r="O13" s="93"/>
      <c r="P13" s="90">
        <v>10000</v>
      </c>
      <c r="Q13" s="93"/>
      <c r="R13" s="90">
        <v>0</v>
      </c>
    </row>
    <row r="14" spans="1:18" x14ac:dyDescent="0.15">
      <c r="A14" s="87"/>
      <c r="B14" s="87"/>
      <c r="C14" s="52" t="s">
        <v>20</v>
      </c>
      <c r="D14" s="52"/>
      <c r="E14" s="91"/>
      <c r="F14" s="75">
        <f t="shared" si="0"/>
        <v>8000</v>
      </c>
      <c r="G14" s="92"/>
      <c r="H14" s="90">
        <v>-1000</v>
      </c>
      <c r="I14" s="93"/>
      <c r="J14" s="90">
        <v>0</v>
      </c>
      <c r="K14" s="93"/>
      <c r="L14" s="90">
        <v>9000</v>
      </c>
      <c r="M14" s="93"/>
      <c r="N14" s="90">
        <v>-1000</v>
      </c>
      <c r="O14" s="93"/>
      <c r="P14" s="90">
        <v>9000</v>
      </c>
      <c r="Q14" s="93"/>
      <c r="R14" s="90">
        <v>0</v>
      </c>
    </row>
    <row r="15" spans="1:18" x14ac:dyDescent="0.15">
      <c r="A15" s="88"/>
      <c r="B15" s="88"/>
      <c r="C15" s="52" t="s">
        <v>21</v>
      </c>
      <c r="D15" s="52"/>
      <c r="E15" s="78"/>
      <c r="G15" s="69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</row>
    <row r="16" spans="1:18" x14ac:dyDescent="0.15">
      <c r="A16" s="88"/>
      <c r="B16" s="88"/>
      <c r="C16" s="52" t="s">
        <v>22</v>
      </c>
      <c r="D16" s="52"/>
      <c r="E16" s="91" t="s">
        <v>23</v>
      </c>
      <c r="F16" s="94">
        <f>SUM(H16:L16)</f>
        <v>79000</v>
      </c>
      <c r="G16" s="69"/>
      <c r="H16" s="95">
        <v>71000</v>
      </c>
      <c r="I16" s="90"/>
      <c r="J16" s="95">
        <v>2000</v>
      </c>
      <c r="K16" s="90"/>
      <c r="L16" s="95">
        <v>6000</v>
      </c>
      <c r="M16" s="90"/>
      <c r="N16" s="95">
        <v>49000</v>
      </c>
      <c r="O16" s="90"/>
      <c r="P16" s="95">
        <v>30000</v>
      </c>
      <c r="Q16" s="90"/>
      <c r="R16" s="95">
        <v>0</v>
      </c>
    </row>
    <row r="17" spans="1:18" x14ac:dyDescent="0.15">
      <c r="A17" s="88"/>
      <c r="B17" s="88"/>
      <c r="C17" s="52"/>
      <c r="D17" s="52"/>
      <c r="G17" s="69"/>
      <c r="H17" s="96"/>
      <c r="I17" s="96"/>
      <c r="J17" s="69"/>
      <c r="K17" s="96"/>
      <c r="L17" s="96"/>
      <c r="M17" s="96"/>
      <c r="N17" s="96"/>
      <c r="O17" s="96"/>
      <c r="P17" s="96"/>
      <c r="Q17" s="96"/>
      <c r="R17" s="69"/>
    </row>
    <row r="18" spans="1:18" x14ac:dyDescent="0.15">
      <c r="A18" s="88"/>
      <c r="B18" s="88"/>
      <c r="C18" s="52"/>
      <c r="D18" s="52"/>
      <c r="E18" s="52" t="s">
        <v>3</v>
      </c>
      <c r="F18" s="94">
        <f>SUM(H18:L18)</f>
        <v>383000</v>
      </c>
      <c r="G18" s="69"/>
      <c r="H18" s="94">
        <f>SUM(H8:H16)</f>
        <v>106000</v>
      </c>
      <c r="I18" s="75"/>
      <c r="J18" s="94">
        <f>SUM(J8:J16)</f>
        <v>135000</v>
      </c>
      <c r="K18" s="75"/>
      <c r="L18" s="94">
        <f>SUM(L8:L16)</f>
        <v>142000</v>
      </c>
      <c r="M18" s="75"/>
      <c r="N18" s="94">
        <f>SUM(N8:N16)</f>
        <v>181000</v>
      </c>
      <c r="O18" s="75"/>
      <c r="P18" s="94">
        <f>SUM(P8:P16)</f>
        <v>202000</v>
      </c>
      <c r="Q18" s="75"/>
      <c r="R18" s="94">
        <f>SUM(R8:R16)</f>
        <v>0</v>
      </c>
    </row>
    <row r="19" spans="1:18" x14ac:dyDescent="0.15"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</row>
    <row r="20" spans="1:18" ht="16.5" customHeight="1" x14ac:dyDescent="0.15">
      <c r="B20" s="53" t="s">
        <v>24</v>
      </c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</row>
    <row r="21" spans="1:18" x14ac:dyDescent="0.15">
      <c r="C21" s="52" t="s">
        <v>14</v>
      </c>
      <c r="D21" s="52"/>
      <c r="E21" s="91"/>
      <c r="F21" s="75">
        <f t="shared" ref="F21:F28" si="1">SUM(H21:L21)</f>
        <v>4781000</v>
      </c>
      <c r="G21" s="92"/>
      <c r="H21" s="90">
        <v>3822000</v>
      </c>
      <c r="I21" s="93"/>
      <c r="J21" s="90">
        <v>127000</v>
      </c>
      <c r="K21" s="93"/>
      <c r="L21" s="90">
        <v>832000</v>
      </c>
      <c r="M21" s="93"/>
      <c r="N21" s="90">
        <v>3041000</v>
      </c>
      <c r="O21" s="93"/>
      <c r="P21" s="90">
        <v>1740000</v>
      </c>
      <c r="Q21" s="93"/>
      <c r="R21" s="90">
        <v>0</v>
      </c>
    </row>
    <row r="22" spans="1:18" x14ac:dyDescent="0.15">
      <c r="C22" s="52" t="s">
        <v>15</v>
      </c>
      <c r="D22" s="52"/>
      <c r="E22" s="91"/>
      <c r="F22" s="75">
        <f t="shared" si="1"/>
        <v>2724000</v>
      </c>
      <c r="G22" s="92"/>
      <c r="H22" s="90">
        <v>1038000</v>
      </c>
      <c r="I22" s="93"/>
      <c r="J22" s="90">
        <v>254000</v>
      </c>
      <c r="K22" s="93"/>
      <c r="L22" s="90">
        <v>1432000</v>
      </c>
      <c r="M22" s="93"/>
      <c r="N22" s="90">
        <v>1537000</v>
      </c>
      <c r="O22" s="93"/>
      <c r="P22" s="90">
        <v>1542000</v>
      </c>
      <c r="Q22" s="93"/>
      <c r="R22" s="90">
        <v>355000</v>
      </c>
    </row>
    <row r="23" spans="1:18" x14ac:dyDescent="0.15">
      <c r="C23" s="52" t="s">
        <v>16</v>
      </c>
      <c r="D23" s="52"/>
      <c r="E23" s="91"/>
      <c r="F23" s="75">
        <f t="shared" si="1"/>
        <v>8510000</v>
      </c>
      <c r="G23" s="92"/>
      <c r="H23" s="90">
        <v>2731000</v>
      </c>
      <c r="I23" s="93"/>
      <c r="J23" s="90">
        <v>264000</v>
      </c>
      <c r="K23" s="93"/>
      <c r="L23" s="90">
        <v>5515000</v>
      </c>
      <c r="M23" s="93"/>
      <c r="N23" s="90">
        <v>4471000</v>
      </c>
      <c r="O23" s="93"/>
      <c r="P23" s="90">
        <v>4047000</v>
      </c>
      <c r="Q23" s="93"/>
      <c r="R23" s="90">
        <v>8000</v>
      </c>
    </row>
    <row r="24" spans="1:18" x14ac:dyDescent="0.15">
      <c r="C24" s="52" t="s">
        <v>25</v>
      </c>
      <c r="D24" s="52"/>
      <c r="E24" s="91"/>
      <c r="F24" s="75">
        <f t="shared" si="1"/>
        <v>903000</v>
      </c>
      <c r="G24" s="92"/>
      <c r="H24" s="90">
        <v>523000</v>
      </c>
      <c r="I24" s="93"/>
      <c r="J24" s="90">
        <v>139000</v>
      </c>
      <c r="K24" s="93"/>
      <c r="L24" s="90">
        <v>241000</v>
      </c>
      <c r="M24" s="93"/>
      <c r="N24" s="90">
        <v>535000</v>
      </c>
      <c r="O24" s="93"/>
      <c r="P24" s="90">
        <v>372000</v>
      </c>
      <c r="Q24" s="93"/>
      <c r="R24" s="90">
        <v>4000</v>
      </c>
    </row>
    <row r="25" spans="1:18" x14ac:dyDescent="0.15">
      <c r="C25" s="52" t="s">
        <v>17</v>
      </c>
      <c r="D25" s="52"/>
      <c r="E25" s="91"/>
      <c r="F25" s="75">
        <f t="shared" si="1"/>
        <v>5082000</v>
      </c>
      <c r="G25" s="92"/>
      <c r="H25" s="90">
        <v>2732000</v>
      </c>
      <c r="I25" s="93"/>
      <c r="J25" s="90">
        <v>142000</v>
      </c>
      <c r="K25" s="93"/>
      <c r="L25" s="90">
        <v>2208000</v>
      </c>
      <c r="M25" s="93"/>
      <c r="N25" s="90">
        <v>3209000</v>
      </c>
      <c r="O25" s="93"/>
      <c r="P25" s="90">
        <v>1873000</v>
      </c>
      <c r="Q25" s="93"/>
      <c r="R25" s="90">
        <v>0</v>
      </c>
    </row>
    <row r="26" spans="1:18" x14ac:dyDescent="0.15">
      <c r="C26" s="52" t="s">
        <v>18</v>
      </c>
      <c r="D26" s="52"/>
      <c r="E26" s="91"/>
      <c r="F26" s="75">
        <f t="shared" si="1"/>
        <v>4786000</v>
      </c>
      <c r="G26" s="92"/>
      <c r="H26" s="90">
        <v>1268000</v>
      </c>
      <c r="I26" s="93"/>
      <c r="J26" s="90">
        <v>521000</v>
      </c>
      <c r="K26" s="93"/>
      <c r="L26" s="90">
        <v>2997000</v>
      </c>
      <c r="M26" s="93"/>
      <c r="N26" s="90">
        <v>2085000</v>
      </c>
      <c r="O26" s="93"/>
      <c r="P26" s="90">
        <v>2701000</v>
      </c>
      <c r="Q26" s="93"/>
      <c r="R26" s="90">
        <v>0</v>
      </c>
    </row>
    <row r="27" spans="1:18" x14ac:dyDescent="0.15">
      <c r="C27" s="52" t="s">
        <v>19</v>
      </c>
      <c r="D27" s="52"/>
      <c r="E27" s="91"/>
      <c r="F27" s="75">
        <f t="shared" si="1"/>
        <v>6312000</v>
      </c>
      <c r="G27" s="92"/>
      <c r="H27" s="90">
        <v>2266000</v>
      </c>
      <c r="I27" s="93"/>
      <c r="J27" s="90">
        <v>209000</v>
      </c>
      <c r="K27" s="93"/>
      <c r="L27" s="90">
        <v>3837000</v>
      </c>
      <c r="M27" s="93"/>
      <c r="N27" s="90">
        <v>2423000</v>
      </c>
      <c r="O27" s="93"/>
      <c r="P27" s="90">
        <v>3889000</v>
      </c>
      <c r="Q27" s="93"/>
      <c r="R27" s="90">
        <v>0</v>
      </c>
    </row>
    <row r="28" spans="1:18" x14ac:dyDescent="0.15">
      <c r="C28" s="52" t="s">
        <v>20</v>
      </c>
      <c r="D28" s="52"/>
      <c r="E28" s="91"/>
      <c r="F28" s="75">
        <f t="shared" si="1"/>
        <v>7205000</v>
      </c>
      <c r="G28" s="92"/>
      <c r="H28" s="90">
        <v>3352000</v>
      </c>
      <c r="I28" s="93"/>
      <c r="J28" s="90">
        <v>70000</v>
      </c>
      <c r="K28" s="93"/>
      <c r="L28" s="90">
        <v>3783000</v>
      </c>
      <c r="M28" s="93"/>
      <c r="N28" s="90">
        <v>4321000</v>
      </c>
      <c r="O28" s="93"/>
      <c r="P28" s="90">
        <v>2884000</v>
      </c>
      <c r="Q28" s="93"/>
      <c r="R28" s="90">
        <v>0</v>
      </c>
    </row>
    <row r="29" spans="1:18" x14ac:dyDescent="0.15">
      <c r="C29" s="52" t="s">
        <v>21</v>
      </c>
      <c r="D29" s="52"/>
      <c r="E29" s="78"/>
    </row>
    <row r="30" spans="1:18" x14ac:dyDescent="0.15">
      <c r="C30" s="52" t="s">
        <v>22</v>
      </c>
      <c r="D30" s="52"/>
      <c r="E30" s="91" t="s">
        <v>23</v>
      </c>
      <c r="F30" s="94">
        <f>SUM(H30:L30)</f>
        <v>1230000</v>
      </c>
      <c r="G30" s="69"/>
      <c r="H30" s="95">
        <v>745000</v>
      </c>
      <c r="I30" s="90"/>
      <c r="J30" s="95">
        <v>76000</v>
      </c>
      <c r="K30" s="90"/>
      <c r="L30" s="95">
        <v>409000</v>
      </c>
      <c r="M30" s="90"/>
      <c r="N30" s="95">
        <v>778000</v>
      </c>
      <c r="O30" s="90"/>
      <c r="P30" s="95">
        <v>452000</v>
      </c>
      <c r="Q30" s="90"/>
      <c r="R30" s="95">
        <v>0</v>
      </c>
    </row>
    <row r="31" spans="1:18" x14ac:dyDescent="0.15">
      <c r="C31" s="52"/>
      <c r="D31" s="52"/>
    </row>
    <row r="32" spans="1:18" x14ac:dyDescent="0.15">
      <c r="C32" s="52"/>
      <c r="D32" s="52"/>
      <c r="E32" s="52" t="s">
        <v>3</v>
      </c>
      <c r="F32" s="94">
        <f>SUM(F21:F30)</f>
        <v>41533000</v>
      </c>
      <c r="H32" s="94">
        <f>SUM(H21:H30)</f>
        <v>18477000</v>
      </c>
      <c r="J32" s="94">
        <f>SUM(J21:J30)</f>
        <v>1802000</v>
      </c>
      <c r="L32" s="94">
        <f>SUM(L21:L30)</f>
        <v>21254000</v>
      </c>
      <c r="N32" s="94">
        <f>SUM(N21:N30)</f>
        <v>22400000</v>
      </c>
      <c r="P32" s="94">
        <f>SUM(P21:P30)</f>
        <v>19500000</v>
      </c>
      <c r="R32" s="94">
        <f>SUM(R21:R30)</f>
        <v>367000</v>
      </c>
    </row>
    <row r="33" spans="1:18" x14ac:dyDescent="0.15"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</row>
    <row r="34" spans="1:18" x14ac:dyDescent="0.15">
      <c r="A34" s="88"/>
      <c r="B34" s="88" t="s">
        <v>28</v>
      </c>
      <c r="C34" s="52"/>
      <c r="D34" s="52"/>
      <c r="E34" s="53"/>
      <c r="F34" s="94">
        <f>SUM(H34:L34)</f>
        <v>7000</v>
      </c>
      <c r="G34" s="69"/>
      <c r="H34" s="95">
        <v>0</v>
      </c>
      <c r="I34" s="90"/>
      <c r="J34" s="95">
        <v>4000</v>
      </c>
      <c r="K34" s="90"/>
      <c r="L34" s="95">
        <v>3000</v>
      </c>
      <c r="M34" s="90"/>
      <c r="N34" s="95">
        <v>5000</v>
      </c>
      <c r="O34" s="90"/>
      <c r="P34" s="95">
        <v>2000</v>
      </c>
      <c r="Q34" s="90"/>
      <c r="R34" s="95">
        <v>0</v>
      </c>
    </row>
    <row r="35" spans="1:18" x14ac:dyDescent="0.15"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</row>
    <row r="36" spans="1:18" x14ac:dyDescent="0.15">
      <c r="A36" s="87"/>
      <c r="B36" s="87"/>
      <c r="C36" s="88"/>
      <c r="D36" s="88"/>
      <c r="E36" s="52" t="s">
        <v>30</v>
      </c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</row>
    <row r="37" spans="1:18" x14ac:dyDescent="0.15">
      <c r="A37" s="88"/>
      <c r="B37" s="87"/>
      <c r="C37" s="88"/>
      <c r="D37" s="88"/>
      <c r="E37" s="53" t="s">
        <v>31</v>
      </c>
      <c r="F37" s="94">
        <f>F18+F32+F34</f>
        <v>41923000</v>
      </c>
      <c r="G37" s="69"/>
      <c r="H37" s="94">
        <f>H18+H32+H34</f>
        <v>18583000</v>
      </c>
      <c r="I37" s="94"/>
      <c r="J37" s="94">
        <f>J18+J32+J34</f>
        <v>1941000</v>
      </c>
      <c r="K37" s="94"/>
      <c r="L37" s="94">
        <f>L18+L32+L34</f>
        <v>21399000</v>
      </c>
      <c r="M37" s="94"/>
      <c r="N37" s="94">
        <f>N18+N32+N34</f>
        <v>22586000</v>
      </c>
      <c r="O37" s="94"/>
      <c r="P37" s="94">
        <f>P18+P32+P34</f>
        <v>19704000</v>
      </c>
      <c r="Q37" s="94"/>
      <c r="R37" s="94">
        <f>R18+R32+R34</f>
        <v>367000</v>
      </c>
    </row>
    <row r="38" spans="1:18" x14ac:dyDescent="0.15">
      <c r="A38" s="88"/>
      <c r="B38" s="88"/>
      <c r="C38" s="52"/>
      <c r="D38" s="52"/>
      <c r="E38" s="53"/>
      <c r="G38" s="69"/>
      <c r="H38" s="69"/>
      <c r="I38" s="96"/>
      <c r="J38" s="96"/>
      <c r="K38" s="96"/>
      <c r="L38" s="96"/>
      <c r="M38" s="96"/>
      <c r="N38" s="96"/>
      <c r="O38" s="96"/>
      <c r="P38" s="96"/>
      <c r="Q38" s="96"/>
      <c r="R38" s="69"/>
    </row>
    <row r="39" spans="1:18" x14ac:dyDescent="0.15">
      <c r="A39" s="97" t="s">
        <v>32</v>
      </c>
      <c r="B39" s="88"/>
      <c r="C39" s="52"/>
      <c r="D39" s="52"/>
      <c r="E39" s="53"/>
      <c r="G39" s="69"/>
      <c r="H39" s="69"/>
      <c r="I39" s="96"/>
      <c r="J39" s="96"/>
      <c r="K39" s="96"/>
      <c r="L39" s="96"/>
      <c r="M39" s="96"/>
      <c r="N39" s="96"/>
      <c r="O39" s="96"/>
      <c r="P39" s="96"/>
      <c r="Q39" s="96"/>
      <c r="R39" s="69"/>
    </row>
    <row r="40" spans="1:18" x14ac:dyDescent="0.15">
      <c r="A40" s="97"/>
      <c r="B40" s="97" t="s">
        <v>33</v>
      </c>
      <c r="C40" s="52"/>
      <c r="D40" s="52"/>
      <c r="E40" s="53"/>
      <c r="G40" s="69"/>
      <c r="H40" s="69"/>
      <c r="I40" s="96"/>
      <c r="J40" s="96"/>
      <c r="K40" s="96"/>
      <c r="L40" s="96"/>
      <c r="M40" s="96"/>
      <c r="N40" s="96"/>
      <c r="O40" s="96"/>
      <c r="P40" s="96"/>
      <c r="Q40" s="96"/>
      <c r="R40" s="69"/>
    </row>
    <row r="41" spans="1:18" x14ac:dyDescent="0.15">
      <c r="A41" s="88"/>
      <c r="B41" s="88"/>
      <c r="C41" s="52"/>
      <c r="D41" s="52"/>
      <c r="E41" s="53"/>
      <c r="G41" s="69"/>
      <c r="H41" s="69"/>
      <c r="I41" s="69"/>
      <c r="J41" s="96"/>
      <c r="K41" s="69"/>
      <c r="L41" s="96"/>
      <c r="M41" s="69"/>
      <c r="N41" s="69"/>
      <c r="O41" s="69"/>
      <c r="P41" s="69"/>
      <c r="Q41" s="69"/>
      <c r="R41" s="69"/>
    </row>
    <row r="42" spans="1:18" x14ac:dyDescent="0.15">
      <c r="A42" s="88"/>
      <c r="B42" s="53" t="s">
        <v>13</v>
      </c>
      <c r="C42" s="52"/>
      <c r="D42" s="52"/>
      <c r="E42" s="53"/>
      <c r="F42" s="94">
        <f>SUM(H42:L42)</f>
        <v>76572000</v>
      </c>
      <c r="G42" s="69"/>
      <c r="H42" s="95">
        <v>22416000</v>
      </c>
      <c r="I42" s="90"/>
      <c r="J42" s="95">
        <v>42388000</v>
      </c>
      <c r="K42" s="90"/>
      <c r="L42" s="95">
        <v>11768000</v>
      </c>
      <c r="M42" s="90"/>
      <c r="N42" s="95">
        <v>44669000</v>
      </c>
      <c r="O42" s="90"/>
      <c r="P42" s="95">
        <v>31938000</v>
      </c>
      <c r="Q42" s="90"/>
      <c r="R42" s="95">
        <v>35000</v>
      </c>
    </row>
    <row r="43" spans="1:18" x14ac:dyDescent="0.15">
      <c r="A43" s="88"/>
      <c r="C43" s="52"/>
      <c r="D43" s="52"/>
      <c r="E43" s="53"/>
      <c r="G43" s="69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</row>
    <row r="44" spans="1:18" x14ac:dyDescent="0.15">
      <c r="A44" s="88"/>
      <c r="B44" s="88" t="s">
        <v>24</v>
      </c>
      <c r="E44" s="91"/>
      <c r="F44" s="94">
        <f>SUM(H44:L44)</f>
        <v>2369000</v>
      </c>
      <c r="G44" s="69"/>
      <c r="H44" s="95">
        <v>6000</v>
      </c>
      <c r="I44" s="90"/>
      <c r="J44" s="95">
        <v>111000</v>
      </c>
      <c r="K44" s="90"/>
      <c r="L44" s="95">
        <v>2252000</v>
      </c>
      <c r="M44" s="90"/>
      <c r="N44" s="95">
        <v>1275000</v>
      </c>
      <c r="O44" s="90"/>
      <c r="P44" s="95">
        <v>1098000</v>
      </c>
      <c r="Q44" s="90"/>
      <c r="R44" s="95">
        <v>4000</v>
      </c>
    </row>
    <row r="45" spans="1:18" x14ac:dyDescent="0.15">
      <c r="A45" s="88"/>
      <c r="C45" s="52"/>
      <c r="D45" s="52"/>
      <c r="E45" s="53"/>
      <c r="G45" s="69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</row>
    <row r="46" spans="1:18" x14ac:dyDescent="0.15">
      <c r="A46" s="88"/>
      <c r="B46" s="88" t="s">
        <v>28</v>
      </c>
      <c r="C46" s="52"/>
      <c r="D46" s="52"/>
      <c r="E46" s="53"/>
      <c r="F46" s="94">
        <f>SUM(H46:L46)</f>
        <v>774000</v>
      </c>
      <c r="G46" s="69"/>
      <c r="H46" s="95">
        <v>0</v>
      </c>
      <c r="I46" s="90"/>
      <c r="J46" s="95">
        <v>704000</v>
      </c>
      <c r="K46" s="90"/>
      <c r="L46" s="95">
        <v>70000</v>
      </c>
      <c r="M46" s="90"/>
      <c r="N46" s="95">
        <v>367000</v>
      </c>
      <c r="O46" s="90"/>
      <c r="P46" s="95">
        <v>407000</v>
      </c>
      <c r="Q46" s="90"/>
      <c r="R46" s="95">
        <v>0</v>
      </c>
    </row>
    <row r="47" spans="1:18" x14ac:dyDescent="0.15">
      <c r="A47" s="88"/>
      <c r="B47" s="88"/>
      <c r="C47" s="52"/>
      <c r="D47" s="52"/>
      <c r="E47" s="53"/>
      <c r="G47" s="69"/>
      <c r="H47" s="69"/>
      <c r="I47" s="96"/>
      <c r="J47" s="96"/>
      <c r="K47" s="96"/>
      <c r="L47" s="96"/>
      <c r="M47" s="96"/>
      <c r="N47" s="96"/>
      <c r="O47" s="96"/>
      <c r="P47" s="96"/>
      <c r="Q47" s="96"/>
      <c r="R47" s="69"/>
    </row>
    <row r="48" spans="1:18" x14ac:dyDescent="0.15">
      <c r="B48" s="88" t="s">
        <v>29</v>
      </c>
      <c r="F48" s="94">
        <f>SUM(H48:L48)</f>
        <v>20470000</v>
      </c>
      <c r="G48" s="69"/>
      <c r="H48" s="95">
        <v>1966000</v>
      </c>
      <c r="I48" s="90"/>
      <c r="J48" s="95">
        <v>13809000</v>
      </c>
      <c r="K48" s="90"/>
      <c r="L48" s="95">
        <v>4695000</v>
      </c>
      <c r="M48" s="90"/>
      <c r="N48" s="95">
        <v>10396000</v>
      </c>
      <c r="O48" s="90"/>
      <c r="P48" s="95">
        <v>10165000</v>
      </c>
      <c r="Q48" s="90"/>
      <c r="R48" s="95">
        <v>91000</v>
      </c>
    </row>
    <row r="49" spans="1:18" x14ac:dyDescent="0.15"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</row>
    <row r="50" spans="1:18" x14ac:dyDescent="0.15">
      <c r="E50" s="52" t="s">
        <v>34</v>
      </c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</row>
    <row r="51" spans="1:18" x14ac:dyDescent="0.15">
      <c r="E51" s="52" t="s">
        <v>35</v>
      </c>
      <c r="F51" s="94">
        <f>SUM(H51:L51)</f>
        <v>100185000</v>
      </c>
      <c r="G51" s="75">
        <v>0</v>
      </c>
      <c r="H51" s="94">
        <f>+H42+H44+H46+H48</f>
        <v>24388000</v>
      </c>
      <c r="I51" s="75"/>
      <c r="J51" s="94">
        <f>+J42+J44+J46+J48</f>
        <v>57012000</v>
      </c>
      <c r="K51" s="75"/>
      <c r="L51" s="94">
        <f>+L42+L44+L46+L48</f>
        <v>18785000</v>
      </c>
      <c r="M51" s="75"/>
      <c r="N51" s="94">
        <f>+N42+N44+N46+N48</f>
        <v>56707000</v>
      </c>
      <c r="O51" s="75"/>
      <c r="P51" s="94">
        <f>+P42+P44+P46+P48</f>
        <v>43608000</v>
      </c>
      <c r="Q51" s="75">
        <v>0</v>
      </c>
      <c r="R51" s="94">
        <f>+R42+R44+R46+R48</f>
        <v>130000</v>
      </c>
    </row>
    <row r="52" spans="1:18" x14ac:dyDescent="0.15">
      <c r="A52" s="87"/>
      <c r="B52" s="87"/>
      <c r="C52" s="88"/>
      <c r="D52" s="88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</row>
    <row r="53" spans="1:18" x14ac:dyDescent="0.15">
      <c r="A53" s="97" t="s">
        <v>36</v>
      </c>
      <c r="B53" s="87"/>
      <c r="C53" s="88"/>
      <c r="D53" s="88"/>
      <c r="E53" s="88"/>
      <c r="G53" s="69"/>
      <c r="H53" s="69"/>
      <c r="I53" s="96"/>
      <c r="J53" s="69"/>
      <c r="K53" s="96"/>
      <c r="L53" s="69"/>
      <c r="M53" s="96"/>
      <c r="N53" s="96"/>
      <c r="O53" s="96"/>
      <c r="P53" s="96"/>
      <c r="Q53" s="96"/>
      <c r="R53" s="69"/>
    </row>
    <row r="54" spans="1:18" x14ac:dyDescent="0.15">
      <c r="A54" s="88"/>
      <c r="B54" s="88"/>
      <c r="C54" s="52"/>
      <c r="D54" s="52"/>
      <c r="G54" s="69"/>
      <c r="H54" s="69"/>
      <c r="I54" s="96"/>
      <c r="J54" s="96"/>
      <c r="K54" s="96"/>
      <c r="L54" s="96"/>
      <c r="M54" s="96"/>
      <c r="N54" s="96"/>
      <c r="O54" s="96"/>
      <c r="P54" s="96"/>
      <c r="Q54" s="96"/>
      <c r="R54" s="69"/>
    </row>
    <row r="55" spans="1:18" x14ac:dyDescent="0.15">
      <c r="A55" s="88"/>
      <c r="B55" s="88" t="s">
        <v>13</v>
      </c>
      <c r="C55" s="52"/>
      <c r="D55" s="52"/>
      <c r="G55" s="69"/>
      <c r="H55" s="69"/>
      <c r="I55" s="96"/>
      <c r="J55" s="96"/>
      <c r="K55" s="96"/>
      <c r="L55" s="96"/>
      <c r="M55" s="96"/>
      <c r="N55" s="96"/>
      <c r="O55" s="96"/>
      <c r="P55" s="96"/>
      <c r="Q55" s="96"/>
      <c r="R55" s="69"/>
    </row>
    <row r="56" spans="1:18" x14ac:dyDescent="0.15">
      <c r="A56" s="88"/>
      <c r="B56" s="88"/>
      <c r="C56" s="52" t="s">
        <v>37</v>
      </c>
      <c r="D56" s="52"/>
      <c r="E56" s="91"/>
      <c r="F56" s="75">
        <f>SUM(H56:L56)</f>
        <v>7311000</v>
      </c>
      <c r="G56" s="92"/>
      <c r="H56" s="90">
        <v>5553000</v>
      </c>
      <c r="I56" s="93"/>
      <c r="J56" s="90">
        <v>741000</v>
      </c>
      <c r="K56" s="93"/>
      <c r="L56" s="90">
        <v>1017000</v>
      </c>
      <c r="M56" s="93"/>
      <c r="N56" s="90">
        <v>4376000</v>
      </c>
      <c r="O56" s="93"/>
      <c r="P56" s="90">
        <v>2935000</v>
      </c>
      <c r="Q56" s="93"/>
      <c r="R56" s="90">
        <v>0</v>
      </c>
    </row>
    <row r="57" spans="1:18" x14ac:dyDescent="0.15">
      <c r="A57" s="88"/>
      <c r="B57" s="88"/>
      <c r="C57" s="52" t="s">
        <v>38</v>
      </c>
      <c r="D57" s="52"/>
      <c r="E57" s="91"/>
      <c r="F57" s="75">
        <f>SUM(H57:L57)</f>
        <v>19828000</v>
      </c>
      <c r="G57" s="92"/>
      <c r="H57" s="90">
        <v>15724000</v>
      </c>
      <c r="I57" s="93"/>
      <c r="J57" s="90">
        <v>2361000</v>
      </c>
      <c r="K57" s="93"/>
      <c r="L57" s="90">
        <v>1743000</v>
      </c>
      <c r="M57" s="93"/>
      <c r="N57" s="90">
        <v>11917000</v>
      </c>
      <c r="O57" s="93"/>
      <c r="P57" s="90">
        <v>7911000</v>
      </c>
      <c r="Q57" s="93"/>
      <c r="R57" s="90">
        <v>0</v>
      </c>
    </row>
    <row r="58" spans="1:18" x14ac:dyDescent="0.15">
      <c r="A58" s="88"/>
      <c r="B58" s="88"/>
      <c r="C58" s="52" t="s">
        <v>39</v>
      </c>
      <c r="D58" s="52"/>
      <c r="E58" s="91"/>
      <c r="F58" s="94">
        <f>SUM(H58:L58)</f>
        <v>7504000</v>
      </c>
      <c r="G58" s="69"/>
      <c r="H58" s="95">
        <v>5614000</v>
      </c>
      <c r="I58" s="90"/>
      <c r="J58" s="95">
        <v>557000</v>
      </c>
      <c r="K58" s="90"/>
      <c r="L58" s="95">
        <v>1333000</v>
      </c>
      <c r="M58" s="90"/>
      <c r="N58" s="95">
        <v>3451000</v>
      </c>
      <c r="O58" s="90"/>
      <c r="P58" s="95">
        <v>4053000</v>
      </c>
      <c r="Q58" s="90"/>
      <c r="R58" s="95">
        <v>0</v>
      </c>
    </row>
    <row r="59" spans="1:18" x14ac:dyDescent="0.15">
      <c r="A59" s="88"/>
      <c r="B59" s="88"/>
      <c r="C59" s="52"/>
      <c r="D59" s="52"/>
      <c r="G59" s="69"/>
      <c r="H59" s="69"/>
      <c r="I59" s="98"/>
      <c r="J59" s="96"/>
      <c r="K59" s="98"/>
      <c r="L59" s="96"/>
      <c r="M59" s="98"/>
      <c r="N59" s="96"/>
      <c r="O59" s="98"/>
      <c r="P59" s="98"/>
      <c r="Q59" s="98"/>
      <c r="R59" s="69"/>
    </row>
    <row r="60" spans="1:18" x14ac:dyDescent="0.15">
      <c r="A60" s="88"/>
      <c r="B60" s="88"/>
      <c r="C60" s="52"/>
      <c r="D60" s="52"/>
      <c r="E60" s="52" t="s">
        <v>3</v>
      </c>
      <c r="F60" s="94">
        <f>SUM(H60:L60)</f>
        <v>34643000</v>
      </c>
      <c r="G60" s="69"/>
      <c r="H60" s="94">
        <f>SUM(H56:H59)</f>
        <v>26891000</v>
      </c>
      <c r="I60" s="75"/>
      <c r="J60" s="94">
        <f>SUM(J56:J59)</f>
        <v>3659000</v>
      </c>
      <c r="K60" s="75"/>
      <c r="L60" s="94">
        <f>SUM(L56:L59)</f>
        <v>4093000</v>
      </c>
      <c r="M60" s="75"/>
      <c r="N60" s="94">
        <f>SUM(N56:N59)</f>
        <v>19744000</v>
      </c>
      <c r="O60" s="75"/>
      <c r="P60" s="94">
        <f>SUM(P56:P59)</f>
        <v>14899000</v>
      </c>
      <c r="Q60" s="75"/>
      <c r="R60" s="94">
        <f>SUM(R56:R59)</f>
        <v>0</v>
      </c>
    </row>
    <row r="61" spans="1:18" x14ac:dyDescent="0.15">
      <c r="A61" s="88"/>
      <c r="B61" s="88"/>
      <c r="C61" s="52"/>
      <c r="D61" s="52"/>
      <c r="G61" s="69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</row>
    <row r="62" spans="1:18" x14ac:dyDescent="0.15">
      <c r="A62" s="88"/>
      <c r="B62" s="88" t="s">
        <v>24</v>
      </c>
      <c r="C62" s="52"/>
      <c r="D62" s="52"/>
      <c r="G62" s="69"/>
      <c r="H62" s="69"/>
      <c r="I62" s="69"/>
      <c r="J62" s="96"/>
      <c r="K62" s="69"/>
      <c r="L62" s="96"/>
      <c r="M62" s="69"/>
      <c r="N62" s="69"/>
      <c r="O62" s="69"/>
      <c r="P62" s="69"/>
      <c r="Q62" s="69"/>
      <c r="R62" s="69"/>
    </row>
    <row r="63" spans="1:18" x14ac:dyDescent="0.15">
      <c r="C63" s="52" t="s">
        <v>37</v>
      </c>
      <c r="D63" s="52"/>
      <c r="E63" s="91"/>
      <c r="F63" s="75">
        <f>SUM(H63:L63)</f>
        <v>4427000</v>
      </c>
      <c r="G63" s="92"/>
      <c r="H63" s="90">
        <v>169000</v>
      </c>
      <c r="I63" s="93"/>
      <c r="J63" s="90">
        <v>29000</v>
      </c>
      <c r="K63" s="93"/>
      <c r="L63" s="90">
        <v>4229000</v>
      </c>
      <c r="M63" s="93"/>
      <c r="N63" s="90">
        <v>2299000</v>
      </c>
      <c r="O63" s="93"/>
      <c r="P63" s="90">
        <v>2128000</v>
      </c>
      <c r="Q63" s="93"/>
      <c r="R63" s="90">
        <v>0</v>
      </c>
    </row>
    <row r="64" spans="1:18" x14ac:dyDescent="0.15">
      <c r="C64" s="52" t="s">
        <v>38</v>
      </c>
      <c r="D64" s="52"/>
      <c r="E64" s="91"/>
      <c r="F64" s="75">
        <f>SUM(H64:L64)</f>
        <v>21860000</v>
      </c>
      <c r="G64" s="92"/>
      <c r="H64" s="90">
        <v>207000</v>
      </c>
      <c r="I64" s="93"/>
      <c r="J64" s="90">
        <v>319000</v>
      </c>
      <c r="K64" s="93"/>
      <c r="L64" s="90">
        <v>21334000</v>
      </c>
      <c r="M64" s="93"/>
      <c r="N64" s="90">
        <v>9136000</v>
      </c>
      <c r="O64" s="93"/>
      <c r="P64" s="90">
        <v>12724000</v>
      </c>
      <c r="Q64" s="93"/>
      <c r="R64" s="90">
        <v>0</v>
      </c>
    </row>
    <row r="65" spans="1:18" x14ac:dyDescent="0.15">
      <c r="A65" s="87"/>
      <c r="B65" s="87"/>
      <c r="C65" s="52" t="s">
        <v>39</v>
      </c>
      <c r="D65" s="52"/>
      <c r="E65" s="91"/>
      <c r="F65" s="94">
        <f>SUM(H65:L65)</f>
        <v>46000</v>
      </c>
      <c r="G65" s="69"/>
      <c r="H65" s="95">
        <v>0</v>
      </c>
      <c r="I65" s="90"/>
      <c r="J65" s="95">
        <v>15000</v>
      </c>
      <c r="K65" s="90"/>
      <c r="L65" s="95">
        <v>31000</v>
      </c>
      <c r="M65" s="90"/>
      <c r="N65" s="95">
        <v>7000</v>
      </c>
      <c r="O65" s="90"/>
      <c r="P65" s="95">
        <v>39000</v>
      </c>
      <c r="Q65" s="90"/>
      <c r="R65" s="95">
        <v>0</v>
      </c>
    </row>
    <row r="66" spans="1:18" x14ac:dyDescent="0.15">
      <c r="A66" s="88"/>
      <c r="B66" s="88"/>
      <c r="C66" s="52"/>
      <c r="D66" s="52"/>
      <c r="G66" s="69"/>
      <c r="H66" s="69"/>
      <c r="I66" s="69"/>
      <c r="J66" s="69"/>
      <c r="K66" s="69"/>
      <c r="L66" s="98"/>
      <c r="M66" s="69"/>
      <c r="N66" s="69"/>
      <c r="O66" s="69"/>
      <c r="P66" s="69"/>
      <c r="Q66" s="69"/>
      <c r="R66" s="69"/>
    </row>
    <row r="67" spans="1:18" x14ac:dyDescent="0.15">
      <c r="A67" s="88"/>
      <c r="B67" s="88"/>
      <c r="C67" s="52"/>
      <c r="D67" s="52"/>
      <c r="E67" s="52" t="s">
        <v>3</v>
      </c>
      <c r="F67" s="94">
        <f>SUM(H67:L67)</f>
        <v>26333000</v>
      </c>
      <c r="G67" s="69"/>
      <c r="H67" s="94">
        <f>SUM(H63:H66)</f>
        <v>376000</v>
      </c>
      <c r="I67" s="75"/>
      <c r="J67" s="94">
        <f>SUM(J63:J66)</f>
        <v>363000</v>
      </c>
      <c r="K67" s="75"/>
      <c r="L67" s="94">
        <f>SUM(L63:L66)</f>
        <v>25594000</v>
      </c>
      <c r="M67" s="75"/>
      <c r="N67" s="94">
        <f>SUM(N63:N66)</f>
        <v>11442000</v>
      </c>
      <c r="O67" s="75"/>
      <c r="P67" s="94">
        <f>SUM(P63:P66)</f>
        <v>14891000</v>
      </c>
      <c r="Q67" s="75"/>
      <c r="R67" s="94">
        <f>SUM(R63:R66)</f>
        <v>0</v>
      </c>
    </row>
    <row r="68" spans="1:18" x14ac:dyDescent="0.15">
      <c r="A68" s="88"/>
      <c r="B68" s="88"/>
      <c r="C68" s="52"/>
      <c r="D68" s="52"/>
      <c r="G68" s="69"/>
      <c r="H68" s="69"/>
      <c r="I68" s="96"/>
      <c r="J68" s="96"/>
      <c r="K68" s="96"/>
      <c r="L68" s="96"/>
      <c r="M68" s="96"/>
      <c r="N68" s="96"/>
      <c r="O68" s="96"/>
      <c r="P68" s="96"/>
      <c r="Q68" s="96"/>
      <c r="R68" s="69"/>
    </row>
    <row r="69" spans="1:18" x14ac:dyDescent="0.15">
      <c r="A69" s="88"/>
      <c r="B69" s="52" t="s">
        <v>28</v>
      </c>
      <c r="C69" s="52"/>
      <c r="D69" s="52"/>
      <c r="F69" s="94">
        <f>SUM(H69:L69)</f>
        <v>5000</v>
      </c>
      <c r="G69" s="69"/>
      <c r="H69" s="95">
        <v>-1000</v>
      </c>
      <c r="I69" s="90"/>
      <c r="J69" s="95">
        <v>0</v>
      </c>
      <c r="K69" s="90"/>
      <c r="L69" s="95">
        <v>6000</v>
      </c>
      <c r="M69" s="90"/>
      <c r="N69" s="95">
        <v>0</v>
      </c>
      <c r="O69" s="90"/>
      <c r="P69" s="95">
        <v>5000</v>
      </c>
      <c r="Q69" s="90"/>
      <c r="R69" s="95">
        <v>0</v>
      </c>
    </row>
    <row r="70" spans="1:18" x14ac:dyDescent="0.15">
      <c r="A70" s="88"/>
      <c r="B70" s="88"/>
      <c r="C70" s="52"/>
      <c r="D70" s="52"/>
      <c r="G70" s="69"/>
      <c r="H70" s="69"/>
      <c r="I70" s="96"/>
      <c r="J70" s="96"/>
      <c r="K70" s="96"/>
      <c r="L70" s="96"/>
      <c r="M70" s="96"/>
      <c r="N70" s="96"/>
      <c r="O70" s="96"/>
      <c r="P70" s="96"/>
      <c r="Q70" s="96"/>
      <c r="R70" s="69"/>
    </row>
    <row r="71" spans="1:18" x14ac:dyDescent="0.15">
      <c r="A71" s="88"/>
      <c r="B71" s="88" t="s">
        <v>29</v>
      </c>
      <c r="C71" s="52"/>
      <c r="D71" s="52"/>
      <c r="F71" s="94">
        <f>SUM(H71:L71)</f>
        <v>-59000</v>
      </c>
      <c r="G71" s="69"/>
      <c r="H71" s="95">
        <v>10000</v>
      </c>
      <c r="I71" s="90"/>
      <c r="J71" s="95">
        <v>-102000</v>
      </c>
      <c r="K71" s="90"/>
      <c r="L71" s="95">
        <v>33000</v>
      </c>
      <c r="M71" s="90"/>
      <c r="N71" s="95">
        <v>2049000</v>
      </c>
      <c r="O71" s="90"/>
      <c r="P71" s="95">
        <v>2237000</v>
      </c>
      <c r="Q71" s="90"/>
      <c r="R71" s="95">
        <v>4345000</v>
      </c>
    </row>
    <row r="72" spans="1:18" x14ac:dyDescent="0.15">
      <c r="A72" s="88"/>
      <c r="B72" s="88"/>
      <c r="C72" s="52"/>
      <c r="D72" s="52"/>
      <c r="G72" s="69"/>
      <c r="H72" s="69"/>
      <c r="I72" s="96"/>
      <c r="J72" s="96"/>
      <c r="K72" s="96"/>
      <c r="L72" s="96"/>
      <c r="M72" s="96"/>
      <c r="N72" s="96"/>
      <c r="O72" s="96"/>
      <c r="P72" s="96"/>
      <c r="Q72" s="96"/>
      <c r="R72" s="69"/>
    </row>
    <row r="73" spans="1:18" x14ac:dyDescent="0.15">
      <c r="A73" s="88"/>
      <c r="B73" s="88"/>
      <c r="C73" s="52"/>
      <c r="D73" s="52"/>
      <c r="E73" s="52" t="s">
        <v>40</v>
      </c>
      <c r="F73" s="94">
        <f>SUM(H73:L73)</f>
        <v>60922000</v>
      </c>
      <c r="G73" s="69"/>
      <c r="H73" s="94">
        <f>+H60+H67+H69+H71</f>
        <v>27276000</v>
      </c>
      <c r="I73" s="69"/>
      <c r="J73" s="94">
        <f>+J60+J67+J69+J71</f>
        <v>3920000</v>
      </c>
      <c r="K73" s="69"/>
      <c r="L73" s="94">
        <f>+L60+L67+L69+L71</f>
        <v>29726000</v>
      </c>
      <c r="M73" s="69"/>
      <c r="N73" s="94">
        <f>+N60+N67+N69+N71</f>
        <v>33235000</v>
      </c>
      <c r="O73" s="69"/>
      <c r="P73" s="94">
        <f>+P60+P67+P69+P71</f>
        <v>32032000</v>
      </c>
      <c r="Q73" s="69"/>
      <c r="R73" s="94">
        <f>+R60+R67+R69+R71</f>
        <v>4345000</v>
      </c>
    </row>
    <row r="74" spans="1:18" x14ac:dyDescent="0.15">
      <c r="A74" s="88"/>
      <c r="B74" s="88"/>
      <c r="C74" s="52"/>
      <c r="D74" s="52"/>
      <c r="G74" s="69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69"/>
    </row>
    <row r="75" spans="1:18" x14ac:dyDescent="0.15">
      <c r="A75" s="97" t="s">
        <v>41</v>
      </c>
      <c r="B75" s="88"/>
      <c r="C75" s="52"/>
      <c r="D75" s="52"/>
      <c r="G75" s="69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69"/>
    </row>
    <row r="76" spans="1:18" x14ac:dyDescent="0.15">
      <c r="A76" s="88"/>
      <c r="B76" s="88"/>
      <c r="C76" s="52"/>
      <c r="D76" s="52"/>
      <c r="G76" s="69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69"/>
    </row>
    <row r="77" spans="1:18" x14ac:dyDescent="0.15">
      <c r="A77" s="88"/>
      <c r="B77" s="88" t="s">
        <v>13</v>
      </c>
      <c r="C77" s="52"/>
      <c r="D77" s="52"/>
      <c r="F77" s="94">
        <f>SUM(H77:L77)</f>
        <v>13169000</v>
      </c>
      <c r="G77" s="69"/>
      <c r="H77" s="95">
        <v>11216000</v>
      </c>
      <c r="I77" s="90"/>
      <c r="J77" s="95">
        <v>1179000</v>
      </c>
      <c r="K77" s="90"/>
      <c r="L77" s="95">
        <v>774000</v>
      </c>
      <c r="M77" s="90"/>
      <c r="N77" s="95">
        <v>8865000</v>
      </c>
      <c r="O77" s="90"/>
      <c r="P77" s="95">
        <v>4304000</v>
      </c>
      <c r="Q77" s="90"/>
      <c r="R77" s="95">
        <v>0</v>
      </c>
    </row>
    <row r="78" spans="1:18" x14ac:dyDescent="0.15">
      <c r="A78" s="88"/>
      <c r="B78" s="88"/>
      <c r="C78" s="52"/>
      <c r="D78" s="52"/>
      <c r="G78" s="69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</row>
    <row r="79" spans="1:18" x14ac:dyDescent="0.15">
      <c r="B79" s="53" t="s">
        <v>24</v>
      </c>
      <c r="F79" s="94">
        <f>SUM(H79:L79)</f>
        <v>5704000</v>
      </c>
      <c r="G79" s="69"/>
      <c r="H79" s="95">
        <v>118000</v>
      </c>
      <c r="I79" s="90"/>
      <c r="J79" s="95">
        <v>104000</v>
      </c>
      <c r="K79" s="90"/>
      <c r="L79" s="95">
        <v>5482000</v>
      </c>
      <c r="M79" s="90"/>
      <c r="N79" s="95">
        <v>2277000</v>
      </c>
      <c r="O79" s="90"/>
      <c r="P79" s="95">
        <v>3427000</v>
      </c>
      <c r="Q79" s="90"/>
      <c r="R79" s="95">
        <v>0</v>
      </c>
    </row>
    <row r="80" spans="1:18" x14ac:dyDescent="0.15"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</row>
    <row r="81" spans="1:18" x14ac:dyDescent="0.15">
      <c r="A81" s="87"/>
      <c r="B81" s="52" t="s">
        <v>28</v>
      </c>
      <c r="C81" s="88"/>
      <c r="D81" s="88"/>
      <c r="F81" s="75">
        <f>SUM(H81:L81)</f>
        <v>4844000</v>
      </c>
      <c r="G81" s="69"/>
      <c r="H81" s="90">
        <v>881000</v>
      </c>
      <c r="I81" s="93"/>
      <c r="J81" s="90">
        <v>2909000</v>
      </c>
      <c r="K81" s="93"/>
      <c r="L81" s="90">
        <v>1054000</v>
      </c>
      <c r="M81" s="93"/>
      <c r="N81" s="90">
        <v>2952000</v>
      </c>
      <c r="O81" s="93"/>
      <c r="P81" s="90">
        <v>1892000</v>
      </c>
      <c r="Q81" s="69"/>
      <c r="R81" s="69">
        <v>0</v>
      </c>
    </row>
    <row r="82" spans="1:18" x14ac:dyDescent="0.15">
      <c r="F82" s="65"/>
      <c r="G82" s="69"/>
      <c r="H82" s="66"/>
      <c r="I82" s="69"/>
      <c r="J82" s="66"/>
      <c r="K82" s="69"/>
      <c r="L82" s="66"/>
      <c r="M82" s="69"/>
      <c r="N82" s="66"/>
      <c r="O82" s="69"/>
      <c r="P82" s="66"/>
      <c r="Q82" s="69"/>
      <c r="R82" s="66"/>
    </row>
    <row r="83" spans="1:18" x14ac:dyDescent="0.15">
      <c r="A83" s="88"/>
      <c r="B83" s="52" t="s">
        <v>29</v>
      </c>
      <c r="C83" s="52"/>
      <c r="D83" s="52"/>
      <c r="F83" s="94">
        <f>SUM(H83:L83)</f>
        <v>183000</v>
      </c>
      <c r="G83" s="69"/>
      <c r="H83" s="95">
        <v>183000</v>
      </c>
      <c r="I83" s="90"/>
      <c r="J83" s="95">
        <v>0</v>
      </c>
      <c r="K83" s="90"/>
      <c r="L83" s="95">
        <v>0</v>
      </c>
      <c r="M83" s="90"/>
      <c r="N83" s="95">
        <v>124000</v>
      </c>
      <c r="O83" s="90"/>
      <c r="P83" s="95">
        <v>59000</v>
      </c>
      <c r="Q83" s="90"/>
      <c r="R83" s="95">
        <v>0</v>
      </c>
    </row>
    <row r="84" spans="1:18" x14ac:dyDescent="0.15">
      <c r="A84" s="88"/>
      <c r="B84" s="88"/>
      <c r="C84" s="52"/>
      <c r="D84" s="52"/>
      <c r="G84" s="69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69"/>
    </row>
    <row r="85" spans="1:18" x14ac:dyDescent="0.15">
      <c r="A85" s="88"/>
      <c r="B85" s="88"/>
      <c r="C85" s="52"/>
      <c r="D85" s="52"/>
      <c r="E85" s="52" t="s">
        <v>42</v>
      </c>
      <c r="F85" s="94">
        <f>SUM(H85:L85)</f>
        <v>23900000</v>
      </c>
      <c r="G85" s="69"/>
      <c r="H85" s="94">
        <f>+H77+H79+H81+H83</f>
        <v>12398000</v>
      </c>
      <c r="I85" s="75"/>
      <c r="J85" s="94">
        <f>+J77+J79+J81+J83</f>
        <v>4192000</v>
      </c>
      <c r="K85" s="75"/>
      <c r="L85" s="94">
        <f>+L77+L79+L81+L83</f>
        <v>7310000</v>
      </c>
      <c r="M85" s="75"/>
      <c r="N85" s="94">
        <f>+N77+N79+N81+N83</f>
        <v>14218000</v>
      </c>
      <c r="O85" s="75"/>
      <c r="P85" s="94">
        <f>+P77+P79+P81+P83</f>
        <v>9682000</v>
      </c>
      <c r="Q85" s="75"/>
      <c r="R85" s="94">
        <f>+R77+R79+R81+R83</f>
        <v>0</v>
      </c>
    </row>
    <row r="86" spans="1:18" x14ac:dyDescent="0.15"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</row>
    <row r="87" spans="1:18" x14ac:dyDescent="0.15">
      <c r="A87" s="79" t="s">
        <v>43</v>
      </c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</row>
    <row r="88" spans="1:18" x14ac:dyDescent="0.15"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</row>
    <row r="89" spans="1:18" x14ac:dyDescent="0.15">
      <c r="A89" s="87"/>
      <c r="B89" s="52" t="s">
        <v>13</v>
      </c>
      <c r="C89" s="88"/>
      <c r="D89" s="88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</row>
    <row r="90" spans="1:18" x14ac:dyDescent="0.15">
      <c r="A90" s="87"/>
      <c r="B90" s="52"/>
      <c r="C90" s="88" t="s">
        <v>44</v>
      </c>
      <c r="D90" s="88"/>
      <c r="F90" s="75">
        <f>SUM(H90:L90)</f>
        <v>6440000</v>
      </c>
      <c r="G90" s="92"/>
      <c r="H90" s="90">
        <v>5503000</v>
      </c>
      <c r="I90" s="93"/>
      <c r="J90" s="90">
        <v>561000</v>
      </c>
      <c r="K90" s="93"/>
      <c r="L90" s="90">
        <v>376000</v>
      </c>
      <c r="M90" s="93"/>
      <c r="N90" s="90">
        <v>3713000</v>
      </c>
      <c r="O90" s="93"/>
      <c r="P90" s="90">
        <v>2727000</v>
      </c>
      <c r="Q90" s="93"/>
      <c r="R90" s="90">
        <v>0</v>
      </c>
    </row>
    <row r="91" spans="1:18" x14ac:dyDescent="0.15">
      <c r="A91" s="88"/>
      <c r="B91" s="88"/>
      <c r="C91" s="52" t="s">
        <v>45</v>
      </c>
      <c r="D91" s="52"/>
      <c r="E91" s="91"/>
      <c r="F91" s="75">
        <f>SUM(H91:L91)</f>
        <v>14325000</v>
      </c>
      <c r="G91" s="92"/>
      <c r="H91" s="90">
        <v>12232000</v>
      </c>
      <c r="I91" s="93"/>
      <c r="J91" s="90">
        <v>845000</v>
      </c>
      <c r="K91" s="93"/>
      <c r="L91" s="90">
        <v>1248000</v>
      </c>
      <c r="M91" s="93"/>
      <c r="N91" s="90">
        <v>8756000</v>
      </c>
      <c r="O91" s="93"/>
      <c r="P91" s="90">
        <v>5581000</v>
      </c>
      <c r="Q91" s="93"/>
      <c r="R91" s="90">
        <v>12000</v>
      </c>
    </row>
    <row r="92" spans="1:18" x14ac:dyDescent="0.15">
      <c r="A92" s="88"/>
      <c r="B92" s="88"/>
      <c r="C92" s="52" t="s">
        <v>39</v>
      </c>
      <c r="D92" s="52"/>
      <c r="E92" s="91"/>
      <c r="F92" s="75">
        <f>SUM(H92:L92)</f>
        <v>14553000</v>
      </c>
      <c r="G92" s="92"/>
      <c r="H92" s="90">
        <v>4157000</v>
      </c>
      <c r="I92" s="93"/>
      <c r="J92" s="90">
        <v>4083000</v>
      </c>
      <c r="K92" s="93"/>
      <c r="L92" s="90">
        <v>6313000</v>
      </c>
      <c r="M92" s="93"/>
      <c r="N92" s="90">
        <v>6415000</v>
      </c>
      <c r="O92" s="93"/>
      <c r="P92" s="90">
        <v>8167000</v>
      </c>
      <c r="Q92" s="93"/>
      <c r="R92" s="90">
        <v>29000</v>
      </c>
    </row>
    <row r="93" spans="1:18" x14ac:dyDescent="0.15">
      <c r="A93" s="88"/>
      <c r="B93" s="88"/>
      <c r="C93" s="52" t="s">
        <v>47</v>
      </c>
      <c r="D93" s="52"/>
      <c r="E93" s="91"/>
      <c r="G93" s="69"/>
      <c r="I93" s="90"/>
      <c r="K93" s="90"/>
      <c r="M93" s="90"/>
      <c r="O93" s="90"/>
      <c r="Q93" s="90"/>
    </row>
    <row r="94" spans="1:18" x14ac:dyDescent="0.15">
      <c r="A94" s="88"/>
      <c r="B94" s="88"/>
      <c r="C94" s="52"/>
      <c r="D94" s="52"/>
      <c r="E94" s="52" t="s">
        <v>48</v>
      </c>
      <c r="F94" s="75">
        <f>SUM(H94:L94)</f>
        <v>33916000</v>
      </c>
      <c r="G94" s="92"/>
      <c r="H94" s="90">
        <v>28181000</v>
      </c>
      <c r="I94" s="93"/>
      <c r="J94" s="90">
        <v>2134000</v>
      </c>
      <c r="K94" s="93"/>
      <c r="L94" s="90">
        <v>3601000</v>
      </c>
      <c r="M94" s="93"/>
      <c r="N94" s="90">
        <v>21800000</v>
      </c>
      <c r="O94" s="93"/>
      <c r="P94" s="90">
        <v>12116000</v>
      </c>
      <c r="Q94" s="93"/>
      <c r="R94" s="90">
        <v>0</v>
      </c>
    </row>
    <row r="95" spans="1:18" x14ac:dyDescent="0.15">
      <c r="A95" s="88"/>
      <c r="B95" s="88"/>
      <c r="C95" s="52" t="s">
        <v>49</v>
      </c>
      <c r="D95" s="52"/>
      <c r="E95" s="91"/>
      <c r="F95" s="75">
        <f>SUM(H95:L95)</f>
        <v>68000</v>
      </c>
      <c r="G95" s="92"/>
      <c r="H95" s="90">
        <v>0</v>
      </c>
      <c r="I95" s="93"/>
      <c r="J95" s="90">
        <v>62000</v>
      </c>
      <c r="K95" s="93"/>
      <c r="L95" s="90">
        <v>6000</v>
      </c>
      <c r="M95" s="93"/>
      <c r="N95" s="90">
        <v>9000</v>
      </c>
      <c r="O95" s="93"/>
      <c r="P95" s="90">
        <v>59000</v>
      </c>
      <c r="Q95" s="93"/>
      <c r="R95" s="90">
        <v>0</v>
      </c>
    </row>
    <row r="96" spans="1:18" x14ac:dyDescent="0.15">
      <c r="A96" s="88"/>
      <c r="B96" s="88"/>
      <c r="C96" s="52" t="s">
        <v>50</v>
      </c>
      <c r="D96" s="52"/>
      <c r="E96" s="91"/>
      <c r="G96" s="69"/>
      <c r="I96" s="90"/>
      <c r="K96" s="90"/>
      <c r="M96" s="90"/>
      <c r="O96" s="90"/>
      <c r="Q96" s="90"/>
    </row>
    <row r="97" spans="1:18" x14ac:dyDescent="0.15">
      <c r="A97" s="88"/>
      <c r="B97" s="88"/>
      <c r="C97" s="52"/>
      <c r="D97" s="52"/>
      <c r="E97" s="52" t="s">
        <v>51</v>
      </c>
      <c r="F97" s="75">
        <f>SUM(H97:L97)</f>
        <v>6650000</v>
      </c>
      <c r="G97" s="92"/>
      <c r="H97" s="90">
        <v>5160000</v>
      </c>
      <c r="I97" s="93"/>
      <c r="J97" s="90">
        <v>931000</v>
      </c>
      <c r="K97" s="93"/>
      <c r="L97" s="90">
        <v>559000</v>
      </c>
      <c r="M97" s="93"/>
      <c r="N97" s="90">
        <v>4217000</v>
      </c>
      <c r="O97" s="93"/>
      <c r="P97" s="90">
        <v>2433000</v>
      </c>
      <c r="Q97" s="93"/>
      <c r="R97" s="90">
        <v>0</v>
      </c>
    </row>
    <row r="98" spans="1:18" x14ac:dyDescent="0.15">
      <c r="A98" s="88"/>
      <c r="B98" s="88"/>
      <c r="C98" s="52" t="s">
        <v>53</v>
      </c>
      <c r="D98" s="52"/>
      <c r="E98" s="91"/>
      <c r="F98" s="75">
        <f>SUM(H98:L98)</f>
        <v>4557000</v>
      </c>
      <c r="G98" s="92"/>
      <c r="H98" s="90">
        <v>3851000</v>
      </c>
      <c r="I98" s="93"/>
      <c r="J98" s="90">
        <v>436000</v>
      </c>
      <c r="K98" s="93"/>
      <c r="L98" s="90">
        <v>270000</v>
      </c>
      <c r="M98" s="93"/>
      <c r="N98" s="90">
        <v>2785000</v>
      </c>
      <c r="O98" s="93"/>
      <c r="P98" s="90">
        <v>1772000</v>
      </c>
      <c r="Q98" s="93"/>
      <c r="R98" s="90">
        <v>0</v>
      </c>
    </row>
    <row r="99" spans="1:18" x14ac:dyDescent="0.15">
      <c r="C99" s="52" t="s">
        <v>54</v>
      </c>
      <c r="D99" s="52"/>
      <c r="E99" s="91"/>
      <c r="F99" s="75">
        <f>SUM(H99:L99)</f>
        <v>16509000</v>
      </c>
      <c r="G99" s="92"/>
      <c r="H99" s="90">
        <v>12874000</v>
      </c>
      <c r="I99" s="93"/>
      <c r="J99" s="90">
        <v>975000</v>
      </c>
      <c r="K99" s="93"/>
      <c r="L99" s="90">
        <v>2660000</v>
      </c>
      <c r="M99" s="93"/>
      <c r="N99" s="90">
        <v>10204000</v>
      </c>
      <c r="O99" s="93"/>
      <c r="P99" s="90">
        <v>6305000</v>
      </c>
      <c r="Q99" s="93"/>
      <c r="R99" s="90">
        <v>0</v>
      </c>
    </row>
    <row r="100" spans="1:18" x14ac:dyDescent="0.15">
      <c r="A100" s="87"/>
      <c r="B100" s="87"/>
      <c r="C100" s="52" t="s">
        <v>55</v>
      </c>
      <c r="D100" s="52"/>
      <c r="E100" s="91"/>
      <c r="F100" s="94">
        <f>SUM(H100:L100)</f>
        <v>2271000</v>
      </c>
      <c r="G100" s="69"/>
      <c r="H100" s="95">
        <v>2007000</v>
      </c>
      <c r="I100" s="90"/>
      <c r="J100" s="95">
        <v>159000</v>
      </c>
      <c r="K100" s="90"/>
      <c r="L100" s="95">
        <v>105000</v>
      </c>
      <c r="M100" s="90"/>
      <c r="N100" s="95">
        <v>1314000</v>
      </c>
      <c r="O100" s="90"/>
      <c r="P100" s="95">
        <v>957000</v>
      </c>
      <c r="Q100" s="90"/>
      <c r="R100" s="95">
        <v>0</v>
      </c>
    </row>
    <row r="101" spans="1:18" x14ac:dyDescent="0.15">
      <c r="A101" s="88"/>
      <c r="B101" s="87"/>
      <c r="C101" s="88"/>
      <c r="D101" s="88"/>
      <c r="E101" s="88"/>
      <c r="G101" s="69"/>
      <c r="H101" s="69"/>
      <c r="I101" s="96"/>
      <c r="J101" s="69"/>
      <c r="K101" s="96"/>
      <c r="L101" s="69"/>
      <c r="M101" s="96"/>
      <c r="N101" s="69"/>
      <c r="O101" s="96"/>
      <c r="P101" s="96"/>
      <c r="Q101" s="96"/>
      <c r="R101" s="69"/>
    </row>
    <row r="102" spans="1:18" x14ac:dyDescent="0.15">
      <c r="A102" s="88"/>
      <c r="B102" s="88"/>
      <c r="C102" s="52"/>
      <c r="D102" s="52"/>
      <c r="E102" s="52" t="s">
        <v>3</v>
      </c>
      <c r="F102" s="94">
        <f>SUM(H102:L102)</f>
        <v>99289000</v>
      </c>
      <c r="G102" s="69"/>
      <c r="H102" s="94">
        <f>SUM(H90:H101)</f>
        <v>73965000</v>
      </c>
      <c r="I102" s="75"/>
      <c r="J102" s="94">
        <f>SUM(J90:J101)</f>
        <v>10186000</v>
      </c>
      <c r="K102" s="75"/>
      <c r="L102" s="94">
        <f>SUM(L90:L101)</f>
        <v>15138000</v>
      </c>
      <c r="M102" s="75"/>
      <c r="N102" s="94">
        <f>SUM(N90:N101)</f>
        <v>59213000</v>
      </c>
      <c r="O102" s="75"/>
      <c r="P102" s="94">
        <f>SUM(P90:P101)</f>
        <v>40117000</v>
      </c>
      <c r="Q102" s="75"/>
      <c r="R102" s="94">
        <f>SUM(R90:R101)</f>
        <v>41000</v>
      </c>
    </row>
    <row r="103" spans="1:18" x14ac:dyDescent="0.15"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</row>
    <row r="104" spans="1:18" x14ac:dyDescent="0.15">
      <c r="A104" s="87"/>
      <c r="B104" s="52" t="s">
        <v>24</v>
      </c>
      <c r="C104" s="88"/>
      <c r="D104" s="88"/>
      <c r="G104" s="69"/>
      <c r="H104" s="96"/>
      <c r="I104" s="96"/>
      <c r="J104" s="69"/>
      <c r="K104" s="96"/>
      <c r="L104" s="69"/>
      <c r="M104" s="96"/>
      <c r="N104" s="96"/>
      <c r="O104" s="96"/>
      <c r="P104" s="96"/>
      <c r="Q104" s="96"/>
      <c r="R104" s="69"/>
    </row>
    <row r="105" spans="1:18" x14ac:dyDescent="0.15">
      <c r="A105" s="88"/>
      <c r="B105" s="88"/>
      <c r="C105" s="52" t="s">
        <v>44</v>
      </c>
      <c r="D105" s="52"/>
      <c r="E105" s="91"/>
      <c r="F105" s="75">
        <f t="shared" ref="F105:F114" si="2">SUM(H105:L105)</f>
        <v>316000</v>
      </c>
      <c r="G105" s="92"/>
      <c r="H105" s="90">
        <v>59000</v>
      </c>
      <c r="I105" s="93"/>
      <c r="J105" s="90">
        <v>88000</v>
      </c>
      <c r="K105" s="93"/>
      <c r="L105" s="90">
        <v>169000</v>
      </c>
      <c r="M105" s="93"/>
      <c r="N105" s="90">
        <v>160000</v>
      </c>
      <c r="O105" s="93"/>
      <c r="P105" s="90">
        <v>156000</v>
      </c>
      <c r="Q105" s="93"/>
      <c r="R105" s="90">
        <v>0</v>
      </c>
    </row>
    <row r="106" spans="1:18" x14ac:dyDescent="0.15">
      <c r="A106" s="88"/>
      <c r="B106" s="88"/>
      <c r="C106" s="52" t="s">
        <v>45</v>
      </c>
      <c r="D106" s="52"/>
      <c r="E106" s="91"/>
      <c r="F106" s="75">
        <f t="shared" si="2"/>
        <v>116000</v>
      </c>
      <c r="G106" s="92"/>
      <c r="H106" s="90">
        <v>0</v>
      </c>
      <c r="I106" s="93"/>
      <c r="J106" s="90">
        <v>61000</v>
      </c>
      <c r="K106" s="93"/>
      <c r="L106" s="90">
        <v>55000</v>
      </c>
      <c r="M106" s="93"/>
      <c r="N106" s="90">
        <v>86000</v>
      </c>
      <c r="O106" s="93"/>
      <c r="P106" s="90">
        <v>30000</v>
      </c>
      <c r="Q106" s="93"/>
      <c r="R106" s="90">
        <v>0</v>
      </c>
    </row>
    <row r="107" spans="1:18" x14ac:dyDescent="0.15">
      <c r="A107" s="88"/>
      <c r="B107" s="88"/>
      <c r="C107" s="52" t="s">
        <v>39</v>
      </c>
      <c r="D107" s="52"/>
      <c r="E107" s="91"/>
      <c r="F107" s="75">
        <f t="shared" si="2"/>
        <v>491000</v>
      </c>
      <c r="G107" s="92"/>
      <c r="H107" s="90">
        <v>357000</v>
      </c>
      <c r="I107" s="93"/>
      <c r="J107" s="90">
        <v>-11000</v>
      </c>
      <c r="K107" s="93"/>
      <c r="L107" s="90">
        <v>145000</v>
      </c>
      <c r="M107" s="93"/>
      <c r="N107" s="90">
        <v>342000</v>
      </c>
      <c r="O107" s="93"/>
      <c r="P107" s="90">
        <v>149000</v>
      </c>
      <c r="Q107" s="93"/>
      <c r="R107" s="90">
        <v>0</v>
      </c>
    </row>
    <row r="108" spans="1:18" x14ac:dyDescent="0.15">
      <c r="A108" s="88"/>
      <c r="B108" s="88"/>
      <c r="C108" s="52" t="s">
        <v>56</v>
      </c>
      <c r="D108" s="52"/>
      <c r="E108" s="91"/>
      <c r="F108" s="75">
        <f t="shared" si="2"/>
        <v>3915000</v>
      </c>
      <c r="G108" s="92"/>
      <c r="H108" s="90">
        <v>627000</v>
      </c>
      <c r="I108" s="93"/>
      <c r="J108" s="90">
        <v>40000</v>
      </c>
      <c r="K108" s="93"/>
      <c r="L108" s="90">
        <v>3248000</v>
      </c>
      <c r="M108" s="93"/>
      <c r="N108" s="90">
        <v>2119000</v>
      </c>
      <c r="O108" s="93"/>
      <c r="P108" s="90">
        <v>1796000</v>
      </c>
      <c r="Q108" s="93"/>
      <c r="R108" s="90">
        <v>0</v>
      </c>
    </row>
    <row r="109" spans="1:18" x14ac:dyDescent="0.15">
      <c r="A109" s="88"/>
      <c r="B109" s="88"/>
      <c r="C109" s="52" t="s">
        <v>47</v>
      </c>
      <c r="D109" s="52"/>
      <c r="G109" s="92"/>
      <c r="H109" s="90"/>
      <c r="I109" s="93"/>
      <c r="J109" s="90"/>
      <c r="K109" s="93"/>
      <c r="L109" s="90"/>
      <c r="M109" s="93"/>
      <c r="N109" s="90"/>
      <c r="O109" s="93"/>
      <c r="P109" s="90"/>
      <c r="Q109" s="93"/>
      <c r="R109" s="90"/>
    </row>
    <row r="110" spans="1:18" x14ac:dyDescent="0.15">
      <c r="A110" s="88"/>
      <c r="B110" s="88"/>
      <c r="C110" s="52"/>
      <c r="D110" s="52"/>
      <c r="E110" s="91" t="s">
        <v>48</v>
      </c>
      <c r="F110" s="75">
        <f t="shared" si="2"/>
        <v>-1000</v>
      </c>
      <c r="G110" s="92"/>
      <c r="H110" s="90">
        <v>18000</v>
      </c>
      <c r="I110" s="93"/>
      <c r="J110" s="90">
        <v>1000</v>
      </c>
      <c r="K110" s="93"/>
      <c r="L110" s="90">
        <v>-20000</v>
      </c>
      <c r="M110" s="93"/>
      <c r="N110" s="90">
        <v>16000</v>
      </c>
      <c r="O110" s="93"/>
      <c r="P110" s="90">
        <v>-17000</v>
      </c>
      <c r="Q110" s="93"/>
      <c r="R110" s="90">
        <v>0</v>
      </c>
    </row>
    <row r="111" spans="1:18" x14ac:dyDescent="0.15">
      <c r="A111" s="88"/>
      <c r="B111" s="88"/>
      <c r="C111" s="52" t="s">
        <v>49</v>
      </c>
      <c r="D111" s="52"/>
      <c r="E111" s="91"/>
      <c r="F111" s="75">
        <f t="shared" si="2"/>
        <v>106401000</v>
      </c>
      <c r="G111" s="92"/>
      <c r="H111" s="90">
        <v>484000</v>
      </c>
      <c r="I111" s="93"/>
      <c r="J111" s="90">
        <v>4362000</v>
      </c>
      <c r="K111" s="93"/>
      <c r="L111" s="90">
        <v>101555000</v>
      </c>
      <c r="M111" s="93"/>
      <c r="N111" s="90">
        <v>49731000</v>
      </c>
      <c r="O111" s="93"/>
      <c r="P111" s="90">
        <v>56662000</v>
      </c>
      <c r="Q111" s="93"/>
      <c r="R111" s="90">
        <v>-8000</v>
      </c>
    </row>
    <row r="112" spans="1:18" x14ac:dyDescent="0.15">
      <c r="A112" s="88"/>
      <c r="B112" s="88"/>
      <c r="C112" s="52" t="s">
        <v>57</v>
      </c>
      <c r="D112" s="52"/>
      <c r="G112" s="92"/>
      <c r="H112" s="90"/>
      <c r="I112" s="93"/>
      <c r="J112" s="90"/>
      <c r="K112" s="93"/>
      <c r="L112" s="90"/>
      <c r="M112" s="93"/>
      <c r="N112" s="90"/>
      <c r="O112" s="93"/>
      <c r="P112" s="90"/>
      <c r="Q112" s="93"/>
      <c r="R112" s="90"/>
    </row>
    <row r="113" spans="1:18" x14ac:dyDescent="0.15">
      <c r="A113" s="88"/>
      <c r="B113" s="88"/>
      <c r="C113" s="52"/>
      <c r="D113" s="52"/>
      <c r="E113" s="91" t="s">
        <v>58</v>
      </c>
      <c r="F113" s="75">
        <f t="shared" si="2"/>
        <v>3326000</v>
      </c>
      <c r="G113" s="92"/>
      <c r="H113" s="90">
        <v>238000</v>
      </c>
      <c r="I113" s="93"/>
      <c r="J113" s="90">
        <v>154000</v>
      </c>
      <c r="K113" s="93"/>
      <c r="L113" s="90">
        <v>2934000</v>
      </c>
      <c r="M113" s="93"/>
      <c r="N113" s="90">
        <v>1861000</v>
      </c>
      <c r="O113" s="93"/>
      <c r="P113" s="90">
        <v>1487000</v>
      </c>
      <c r="Q113" s="93"/>
      <c r="R113" s="90">
        <v>22000</v>
      </c>
    </row>
    <row r="114" spans="1:18" x14ac:dyDescent="0.15">
      <c r="A114" s="88"/>
      <c r="B114" s="88"/>
      <c r="C114" s="52" t="s">
        <v>59</v>
      </c>
      <c r="D114" s="52"/>
      <c r="E114" s="91"/>
      <c r="F114" s="75">
        <f t="shared" si="2"/>
        <v>246000</v>
      </c>
      <c r="G114" s="92"/>
      <c r="H114" s="90">
        <v>9000</v>
      </c>
      <c r="I114" s="93"/>
      <c r="J114" s="90">
        <v>27000</v>
      </c>
      <c r="K114" s="93"/>
      <c r="L114" s="90">
        <v>210000</v>
      </c>
      <c r="M114" s="93"/>
      <c r="N114" s="90">
        <v>80000</v>
      </c>
      <c r="O114" s="93"/>
      <c r="P114" s="90">
        <v>166000</v>
      </c>
      <c r="Q114" s="93"/>
      <c r="R114" s="90">
        <v>0</v>
      </c>
    </row>
    <row r="115" spans="1:18" x14ac:dyDescent="0.15">
      <c r="C115" s="52" t="s">
        <v>55</v>
      </c>
      <c r="D115" s="52"/>
      <c r="E115" s="91"/>
      <c r="F115" s="94">
        <f>SUM(H115:L115)</f>
        <v>32000</v>
      </c>
      <c r="G115" s="69"/>
      <c r="H115" s="95">
        <v>2000</v>
      </c>
      <c r="I115" s="90"/>
      <c r="J115" s="95">
        <v>26000</v>
      </c>
      <c r="K115" s="90"/>
      <c r="L115" s="95">
        <v>4000</v>
      </c>
      <c r="M115" s="90"/>
      <c r="N115" s="95">
        <v>1000</v>
      </c>
      <c r="O115" s="90"/>
      <c r="P115" s="95">
        <v>31000</v>
      </c>
      <c r="Q115" s="90"/>
      <c r="R115" s="95">
        <v>0</v>
      </c>
    </row>
    <row r="116" spans="1:18" x14ac:dyDescent="0.15">
      <c r="A116" s="88"/>
      <c r="B116" s="88"/>
      <c r="C116" s="52"/>
      <c r="D116" s="52"/>
      <c r="G116" s="69"/>
      <c r="H116" s="96"/>
      <c r="I116" s="96"/>
      <c r="J116" s="69"/>
      <c r="K116" s="96"/>
      <c r="L116" s="96"/>
      <c r="M116" s="96"/>
      <c r="N116" s="96"/>
      <c r="O116" s="96"/>
      <c r="P116" s="96"/>
      <c r="Q116" s="96"/>
      <c r="R116" s="69"/>
    </row>
    <row r="117" spans="1:18" x14ac:dyDescent="0.15">
      <c r="A117" s="88"/>
      <c r="B117" s="88"/>
      <c r="C117" s="52"/>
      <c r="D117" s="52"/>
      <c r="E117" s="52" t="s">
        <v>60</v>
      </c>
      <c r="F117" s="94">
        <f>SUM(H117:L117)</f>
        <v>114842000</v>
      </c>
      <c r="G117" s="69"/>
      <c r="H117" s="94">
        <f>SUM(H105:H116)</f>
        <v>1794000</v>
      </c>
      <c r="I117" s="75"/>
      <c r="J117" s="94">
        <f>SUM(J105:J116)</f>
        <v>4748000</v>
      </c>
      <c r="K117" s="75"/>
      <c r="L117" s="94">
        <f>SUM(L105:L116)</f>
        <v>108300000</v>
      </c>
      <c r="M117" s="75"/>
      <c r="N117" s="94">
        <f>SUM(N105:N116)</f>
        <v>54396000</v>
      </c>
      <c r="O117" s="75"/>
      <c r="P117" s="94">
        <f>SUM(P105:P116)</f>
        <v>60460000</v>
      </c>
      <c r="Q117" s="75"/>
      <c r="R117" s="94">
        <f>SUM(R105:R116)</f>
        <v>14000</v>
      </c>
    </row>
    <row r="118" spans="1:18" x14ac:dyDescent="0.15">
      <c r="A118" s="88"/>
      <c r="B118" s="88"/>
      <c r="C118" s="52"/>
      <c r="D118" s="52"/>
      <c r="G118" s="69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</row>
    <row r="119" spans="1:18" x14ac:dyDescent="0.15">
      <c r="A119" s="88"/>
      <c r="B119" s="88"/>
      <c r="C119" s="52"/>
      <c r="D119" s="52"/>
      <c r="G119" s="69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</row>
    <row r="120" spans="1:18" x14ac:dyDescent="0.15">
      <c r="A120" s="88"/>
      <c r="B120" s="88" t="s">
        <v>28</v>
      </c>
      <c r="C120" s="52"/>
      <c r="D120" s="52"/>
      <c r="G120" s="69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</row>
    <row r="121" spans="1:18" x14ac:dyDescent="0.15">
      <c r="A121" s="88"/>
      <c r="B121" s="88"/>
      <c r="C121" s="52" t="s">
        <v>39</v>
      </c>
      <c r="D121" s="52"/>
      <c r="E121" s="91"/>
      <c r="F121" s="75">
        <f t="shared" ref="F121" si="3">SUM(H121:L121)</f>
        <v>2000</v>
      </c>
      <c r="G121" s="69"/>
      <c r="H121" s="90">
        <v>0</v>
      </c>
      <c r="I121" s="90"/>
      <c r="J121" s="90">
        <v>2000</v>
      </c>
      <c r="K121" s="90"/>
      <c r="L121" s="90">
        <v>0</v>
      </c>
      <c r="M121" s="90"/>
      <c r="N121" s="90">
        <v>0</v>
      </c>
      <c r="O121" s="90"/>
      <c r="P121" s="90">
        <v>2000</v>
      </c>
      <c r="Q121" s="90"/>
      <c r="R121" s="90">
        <v>0</v>
      </c>
    </row>
    <row r="122" spans="1:18" x14ac:dyDescent="0.15">
      <c r="A122" s="88"/>
      <c r="B122" s="88"/>
      <c r="C122" s="52" t="s">
        <v>56</v>
      </c>
      <c r="D122" s="52"/>
      <c r="E122" s="91"/>
      <c r="F122" s="94">
        <f>SUM(H122:L122)</f>
        <v>41000</v>
      </c>
      <c r="G122" s="69"/>
      <c r="H122" s="95">
        <v>0</v>
      </c>
      <c r="I122" s="90"/>
      <c r="J122" s="95">
        <v>41000</v>
      </c>
      <c r="K122" s="90"/>
      <c r="L122" s="95">
        <v>0</v>
      </c>
      <c r="M122" s="90"/>
      <c r="N122" s="95">
        <v>28000</v>
      </c>
      <c r="O122" s="90"/>
      <c r="P122" s="95">
        <v>13000</v>
      </c>
      <c r="Q122" s="90"/>
      <c r="R122" s="95">
        <v>0</v>
      </c>
    </row>
    <row r="123" spans="1:18" x14ac:dyDescent="0.15">
      <c r="A123" s="88"/>
      <c r="B123" s="88"/>
      <c r="C123" s="52"/>
      <c r="D123" s="52"/>
      <c r="E123" s="91"/>
      <c r="G123" s="69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</row>
    <row r="124" spans="1:18" x14ac:dyDescent="0.15">
      <c r="A124" s="88"/>
      <c r="B124" s="88"/>
      <c r="C124" s="52"/>
      <c r="D124" s="52"/>
      <c r="E124" s="52" t="s">
        <v>3</v>
      </c>
      <c r="F124" s="94">
        <f>SUM(H124:L124)</f>
        <v>43000</v>
      </c>
      <c r="G124" s="69"/>
      <c r="H124" s="94">
        <f>SUM(H120:H123)</f>
        <v>0</v>
      </c>
      <c r="I124" s="75"/>
      <c r="J124" s="94">
        <f>SUM(J120:J123)</f>
        <v>43000</v>
      </c>
      <c r="K124" s="75"/>
      <c r="L124" s="94">
        <f>SUM(L120:L123)</f>
        <v>0</v>
      </c>
      <c r="M124" s="75"/>
      <c r="N124" s="94">
        <f>SUM(N120:N123)</f>
        <v>28000</v>
      </c>
      <c r="O124" s="75"/>
      <c r="P124" s="94">
        <f>SUM(P120:P123)</f>
        <v>15000</v>
      </c>
      <c r="Q124" s="75"/>
      <c r="R124" s="94">
        <f>SUM(R120:R123)</f>
        <v>0</v>
      </c>
    </row>
    <row r="125" spans="1:18" x14ac:dyDescent="0.15">
      <c r="A125" s="88"/>
      <c r="B125" s="88"/>
      <c r="C125" s="52"/>
      <c r="D125" s="52"/>
      <c r="G125" s="69"/>
      <c r="H125" s="96"/>
      <c r="I125" s="96"/>
      <c r="J125" s="69"/>
      <c r="K125" s="96"/>
      <c r="L125" s="96"/>
      <c r="M125" s="96"/>
      <c r="N125" s="96"/>
      <c r="O125" s="96"/>
      <c r="P125" s="96"/>
      <c r="Q125" s="96"/>
      <c r="R125" s="69"/>
    </row>
    <row r="126" spans="1:18" x14ac:dyDescent="0.15">
      <c r="A126" s="88"/>
      <c r="B126" s="88" t="s">
        <v>29</v>
      </c>
      <c r="C126" s="52"/>
      <c r="D126" s="52"/>
      <c r="G126" s="69"/>
      <c r="H126" s="96"/>
      <c r="I126" s="96"/>
      <c r="J126" s="69"/>
      <c r="K126" s="96"/>
      <c r="L126" s="96"/>
      <c r="M126" s="96"/>
      <c r="N126" s="96"/>
      <c r="O126" s="96"/>
      <c r="P126" s="96"/>
      <c r="Q126" s="96"/>
      <c r="R126" s="69"/>
    </row>
    <row r="127" spans="1:18" x14ac:dyDescent="0.15">
      <c r="C127" s="52" t="s">
        <v>39</v>
      </c>
      <c r="D127" s="52"/>
      <c r="E127" s="91"/>
      <c r="F127" s="75">
        <f t="shared" ref="F127:F132" si="4">SUM(H127:L127)</f>
        <v>3635000</v>
      </c>
      <c r="G127" s="92"/>
      <c r="H127" s="90">
        <v>0</v>
      </c>
      <c r="I127" s="93"/>
      <c r="J127" s="90">
        <v>248000</v>
      </c>
      <c r="K127" s="93"/>
      <c r="L127" s="90">
        <v>3387000</v>
      </c>
      <c r="M127" s="93"/>
      <c r="N127" s="90">
        <v>2165000</v>
      </c>
      <c r="O127" s="93"/>
      <c r="P127" s="90">
        <v>1470000</v>
      </c>
      <c r="Q127" s="93"/>
      <c r="R127" s="90">
        <v>0</v>
      </c>
    </row>
    <row r="128" spans="1:18" x14ac:dyDescent="0.15">
      <c r="C128" s="52" t="s">
        <v>56</v>
      </c>
      <c r="D128" s="52"/>
      <c r="E128" s="91"/>
      <c r="F128" s="75">
        <f t="shared" si="4"/>
        <v>525000</v>
      </c>
      <c r="G128" s="92"/>
      <c r="H128" s="90">
        <v>0</v>
      </c>
      <c r="I128" s="93"/>
      <c r="J128" s="90">
        <v>525000</v>
      </c>
      <c r="K128" s="93"/>
      <c r="L128" s="90">
        <v>0</v>
      </c>
      <c r="M128" s="93"/>
      <c r="N128" s="90">
        <v>302000</v>
      </c>
      <c r="O128" s="93"/>
      <c r="P128" s="90">
        <v>223000</v>
      </c>
      <c r="Q128" s="93"/>
      <c r="R128" s="90">
        <v>0</v>
      </c>
    </row>
    <row r="129" spans="1:18" x14ac:dyDescent="0.15">
      <c r="C129" s="52" t="s">
        <v>47</v>
      </c>
      <c r="D129" s="52"/>
      <c r="E129" s="91"/>
      <c r="G129" s="92"/>
      <c r="H129" s="90"/>
      <c r="I129" s="93"/>
      <c r="J129" s="90"/>
      <c r="K129" s="93"/>
      <c r="L129" s="90"/>
      <c r="M129" s="93"/>
      <c r="N129" s="90"/>
      <c r="O129" s="93"/>
      <c r="P129" s="90"/>
      <c r="Q129" s="93"/>
      <c r="R129" s="90"/>
    </row>
    <row r="130" spans="1:18" x14ac:dyDescent="0.15">
      <c r="A130" s="52"/>
      <c r="B130" s="52"/>
      <c r="C130" s="88"/>
      <c r="D130" s="88"/>
      <c r="E130" s="52" t="s">
        <v>48</v>
      </c>
      <c r="F130" s="75">
        <f t="shared" si="4"/>
        <v>-72000</v>
      </c>
      <c r="G130" s="92"/>
      <c r="H130" s="90">
        <v>157000</v>
      </c>
      <c r="I130" s="93"/>
      <c r="J130" s="90">
        <v>-375000</v>
      </c>
      <c r="K130" s="93"/>
      <c r="L130" s="90">
        <v>146000</v>
      </c>
      <c r="M130" s="93"/>
      <c r="N130" s="90">
        <v>951000</v>
      </c>
      <c r="O130" s="93"/>
      <c r="P130" s="90">
        <v>932000</v>
      </c>
      <c r="Q130" s="93"/>
      <c r="R130" s="90">
        <v>1955000</v>
      </c>
    </row>
    <row r="131" spans="1:18" x14ac:dyDescent="0.15">
      <c r="C131" s="52" t="s">
        <v>49</v>
      </c>
      <c r="D131" s="52"/>
      <c r="E131" s="91"/>
      <c r="F131" s="75">
        <f t="shared" si="4"/>
        <v>2513000</v>
      </c>
      <c r="G131" s="92"/>
      <c r="H131" s="90">
        <v>244000</v>
      </c>
      <c r="I131" s="93"/>
      <c r="J131" s="90">
        <v>2216000</v>
      </c>
      <c r="K131" s="93"/>
      <c r="L131" s="90">
        <v>53000</v>
      </c>
      <c r="M131" s="93"/>
      <c r="N131" s="90">
        <v>2428000</v>
      </c>
      <c r="O131" s="93"/>
      <c r="P131" s="90">
        <v>3451000</v>
      </c>
      <c r="Q131" s="93"/>
      <c r="R131" s="90">
        <v>3366000</v>
      </c>
    </row>
    <row r="132" spans="1:18" x14ac:dyDescent="0.15">
      <c r="C132" s="88" t="s">
        <v>61</v>
      </c>
      <c r="D132" s="52"/>
      <c r="E132" s="91"/>
      <c r="F132" s="75">
        <f t="shared" si="4"/>
        <v>-75000</v>
      </c>
      <c r="G132" s="92"/>
      <c r="H132" s="90">
        <v>0</v>
      </c>
      <c r="I132" s="93"/>
      <c r="J132" s="90">
        <v>-75000</v>
      </c>
      <c r="K132" s="93"/>
      <c r="L132" s="90">
        <v>0</v>
      </c>
      <c r="M132" s="93"/>
      <c r="N132" s="90">
        <v>0</v>
      </c>
      <c r="O132" s="93"/>
      <c r="P132" s="90">
        <v>17000</v>
      </c>
      <c r="Q132" s="93"/>
      <c r="R132" s="90">
        <v>92000</v>
      </c>
    </row>
    <row r="133" spans="1:18" x14ac:dyDescent="0.15">
      <c r="A133" s="52"/>
      <c r="B133" s="52"/>
      <c r="C133" s="88" t="s">
        <v>62</v>
      </c>
      <c r="D133" s="88"/>
      <c r="F133" s="75">
        <f>SUM(H133:L133)</f>
        <v>-1000</v>
      </c>
      <c r="G133" s="92"/>
      <c r="H133" s="90">
        <v>0</v>
      </c>
      <c r="I133" s="93"/>
      <c r="J133" s="90">
        <v>-1000</v>
      </c>
      <c r="K133" s="93"/>
      <c r="L133" s="90">
        <v>0</v>
      </c>
      <c r="M133" s="93"/>
      <c r="N133" s="90">
        <v>3000</v>
      </c>
      <c r="O133" s="93"/>
      <c r="P133" s="90">
        <v>1000</v>
      </c>
      <c r="Q133" s="93"/>
      <c r="R133" s="90">
        <v>5000</v>
      </c>
    </row>
    <row r="134" spans="1:18" x14ac:dyDescent="0.15">
      <c r="C134" s="52" t="s">
        <v>59</v>
      </c>
      <c r="D134" s="52"/>
      <c r="F134" s="94">
        <f>SUM(H134:L134)</f>
        <v>1000</v>
      </c>
      <c r="G134" s="69"/>
      <c r="H134" s="95">
        <v>0</v>
      </c>
      <c r="I134" s="90"/>
      <c r="J134" s="95">
        <v>1000</v>
      </c>
      <c r="K134" s="90"/>
      <c r="L134" s="95">
        <v>0</v>
      </c>
      <c r="M134" s="90"/>
      <c r="N134" s="95">
        <v>1000</v>
      </c>
      <c r="O134" s="90"/>
      <c r="P134" s="95">
        <v>0</v>
      </c>
      <c r="Q134" s="90"/>
      <c r="R134" s="95">
        <v>0</v>
      </c>
    </row>
    <row r="135" spans="1:18" x14ac:dyDescent="0.15"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</row>
    <row r="136" spans="1:18" x14ac:dyDescent="0.15">
      <c r="E136" s="52" t="s">
        <v>3</v>
      </c>
      <c r="F136" s="94">
        <f>SUM(H136:L136)</f>
        <v>6526000</v>
      </c>
      <c r="G136" s="69">
        <v>0</v>
      </c>
      <c r="H136" s="94">
        <f>SUM(H127:H135)</f>
        <v>401000</v>
      </c>
      <c r="I136" s="75"/>
      <c r="J136" s="94">
        <f>SUM(J127:J135)</f>
        <v>2539000</v>
      </c>
      <c r="K136" s="75"/>
      <c r="L136" s="94">
        <f>SUM(L127:L135)</f>
        <v>3586000</v>
      </c>
      <c r="M136" s="75"/>
      <c r="N136" s="94">
        <f>SUM(N127:N135)</f>
        <v>5850000</v>
      </c>
      <c r="O136" s="75"/>
      <c r="P136" s="94">
        <f>SUM(P127:P135)</f>
        <v>6094000</v>
      </c>
      <c r="Q136" s="75"/>
      <c r="R136" s="94">
        <f>SUM(R127:R135)</f>
        <v>5418000</v>
      </c>
    </row>
    <row r="137" spans="1:18" x14ac:dyDescent="0.15"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</row>
    <row r="138" spans="1:18" x14ac:dyDescent="0.15">
      <c r="E138" s="52" t="s">
        <v>63</v>
      </c>
      <c r="F138" s="94">
        <f>SUM(H138:L138)</f>
        <v>220700000</v>
      </c>
      <c r="G138" s="69"/>
      <c r="H138" s="94">
        <f>+H102+H117+H124+H136</f>
        <v>76160000</v>
      </c>
      <c r="I138" s="75"/>
      <c r="J138" s="94">
        <f>+J102+J117+J124+J136</f>
        <v>17516000</v>
      </c>
      <c r="K138" s="75"/>
      <c r="L138" s="94">
        <f>+L102+L117+L124+L136</f>
        <v>127024000</v>
      </c>
      <c r="M138" s="75"/>
      <c r="N138" s="94">
        <f>+N102+N117+N124+N136</f>
        <v>119487000</v>
      </c>
      <c r="O138" s="75"/>
      <c r="P138" s="94">
        <f>+P102+P117+P124+P136</f>
        <v>106686000</v>
      </c>
      <c r="Q138" s="75"/>
      <c r="R138" s="94">
        <f>+R102+R117+R124+R136</f>
        <v>5473000</v>
      </c>
    </row>
    <row r="139" spans="1:18" x14ac:dyDescent="0.15"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</row>
    <row r="140" spans="1:18" x14ac:dyDescent="0.15">
      <c r="A140" s="79" t="s">
        <v>64</v>
      </c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</row>
    <row r="141" spans="1:18" x14ac:dyDescent="0.15">
      <c r="A141" s="79"/>
      <c r="B141" s="79" t="s">
        <v>65</v>
      </c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</row>
    <row r="142" spans="1:18" x14ac:dyDescent="0.15"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</row>
    <row r="143" spans="1:18" x14ac:dyDescent="0.15">
      <c r="B143" s="53" t="s">
        <v>13</v>
      </c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</row>
    <row r="144" spans="1:18" x14ac:dyDescent="0.15">
      <c r="C144" s="52" t="s">
        <v>66</v>
      </c>
      <c r="D144" s="52"/>
      <c r="E144" s="91"/>
      <c r="F144" s="75">
        <f>SUM(H144:L144)</f>
        <v>7776000</v>
      </c>
      <c r="G144" s="92"/>
      <c r="H144" s="90">
        <v>6677000</v>
      </c>
      <c r="I144" s="93"/>
      <c r="J144" s="90">
        <v>598000</v>
      </c>
      <c r="K144" s="93"/>
      <c r="L144" s="90">
        <v>501000</v>
      </c>
      <c r="M144" s="93"/>
      <c r="N144" s="90">
        <v>5095000</v>
      </c>
      <c r="O144" s="93"/>
      <c r="P144" s="90">
        <v>2681000</v>
      </c>
      <c r="Q144" s="93"/>
      <c r="R144" s="90">
        <v>0</v>
      </c>
    </row>
    <row r="145" spans="1:18" x14ac:dyDescent="0.15">
      <c r="C145" s="52" t="s">
        <v>67</v>
      </c>
      <c r="D145" s="52"/>
      <c r="E145" s="91"/>
      <c r="F145" s="75">
        <f>SUM(H145:L145)</f>
        <v>3508000</v>
      </c>
      <c r="G145" s="92"/>
      <c r="H145" s="90">
        <v>3188000</v>
      </c>
      <c r="I145" s="93"/>
      <c r="J145" s="90">
        <v>210000</v>
      </c>
      <c r="K145" s="93"/>
      <c r="L145" s="90">
        <v>110000</v>
      </c>
      <c r="M145" s="93"/>
      <c r="N145" s="90">
        <v>2225000</v>
      </c>
      <c r="O145" s="93"/>
      <c r="P145" s="90">
        <v>1283000</v>
      </c>
      <c r="Q145" s="93"/>
      <c r="R145" s="90">
        <v>0</v>
      </c>
    </row>
    <row r="146" spans="1:18" x14ac:dyDescent="0.15">
      <c r="C146" s="52" t="s">
        <v>39</v>
      </c>
      <c r="D146" s="52"/>
      <c r="E146" s="91"/>
      <c r="F146" s="75">
        <f>SUM(H146:L146)</f>
        <v>5534000</v>
      </c>
      <c r="G146" s="92"/>
      <c r="H146" s="90">
        <v>2889000</v>
      </c>
      <c r="I146" s="93"/>
      <c r="J146" s="90">
        <v>1416000</v>
      </c>
      <c r="K146" s="93"/>
      <c r="L146" s="90">
        <v>1229000</v>
      </c>
      <c r="M146" s="93"/>
      <c r="N146" s="90">
        <v>3282000</v>
      </c>
      <c r="O146" s="93"/>
      <c r="P146" s="90">
        <v>2377000</v>
      </c>
      <c r="Q146" s="93"/>
      <c r="R146" s="90">
        <v>125000</v>
      </c>
    </row>
    <row r="147" spans="1:18" x14ac:dyDescent="0.15">
      <c r="C147" s="52" t="s">
        <v>68</v>
      </c>
      <c r="D147" s="52"/>
      <c r="E147" s="91"/>
      <c r="G147" s="69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</row>
    <row r="148" spans="1:18" x14ac:dyDescent="0.15">
      <c r="C148" s="86"/>
      <c r="D148" s="52"/>
      <c r="E148" s="91" t="s">
        <v>69</v>
      </c>
      <c r="F148" s="94">
        <f>SUM(H148:L148)</f>
        <v>3451000</v>
      </c>
      <c r="G148" s="69"/>
      <c r="H148" s="95">
        <v>2706000</v>
      </c>
      <c r="I148" s="90"/>
      <c r="J148" s="95">
        <v>336000</v>
      </c>
      <c r="K148" s="90"/>
      <c r="L148" s="95">
        <v>409000</v>
      </c>
      <c r="M148" s="90"/>
      <c r="N148" s="95">
        <v>2120000</v>
      </c>
      <c r="O148" s="90"/>
      <c r="P148" s="95">
        <v>1339000</v>
      </c>
      <c r="Q148" s="90"/>
      <c r="R148" s="95">
        <v>8000</v>
      </c>
    </row>
    <row r="149" spans="1:18" x14ac:dyDescent="0.15">
      <c r="A149" s="88"/>
      <c r="B149" s="88"/>
      <c r="C149" s="88"/>
      <c r="D149" s="88"/>
      <c r="E149" s="8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</row>
    <row r="150" spans="1:18" x14ac:dyDescent="0.15">
      <c r="E150" s="52" t="s">
        <v>3</v>
      </c>
      <c r="F150" s="94">
        <f>SUM(H150:L150)</f>
        <v>20269000</v>
      </c>
      <c r="G150" s="69"/>
      <c r="H150" s="94">
        <f>SUM(H144:H149)</f>
        <v>15460000</v>
      </c>
      <c r="I150" s="75"/>
      <c r="J150" s="94">
        <f>SUM(J144:J149)</f>
        <v>2560000</v>
      </c>
      <c r="K150" s="75"/>
      <c r="L150" s="94">
        <f>SUM(L144:L149)</f>
        <v>2249000</v>
      </c>
      <c r="M150" s="75"/>
      <c r="N150" s="94">
        <f>SUM(N144:N149)</f>
        <v>12722000</v>
      </c>
      <c r="O150" s="75"/>
      <c r="P150" s="94">
        <f>SUM(P144:P149)</f>
        <v>7680000</v>
      </c>
      <c r="Q150" s="75"/>
      <c r="R150" s="94">
        <f>SUM(R144:R149)</f>
        <v>133000</v>
      </c>
    </row>
    <row r="151" spans="1:18" x14ac:dyDescent="0.15">
      <c r="A151" s="88"/>
      <c r="B151" s="88"/>
      <c r="C151" s="88"/>
      <c r="D151" s="88"/>
      <c r="E151" s="88"/>
      <c r="G151" s="83"/>
      <c r="H151" s="83"/>
      <c r="I151" s="69"/>
      <c r="J151" s="83"/>
      <c r="K151" s="69"/>
      <c r="L151" s="83"/>
      <c r="M151" s="69"/>
      <c r="N151" s="83"/>
      <c r="O151" s="69"/>
      <c r="P151" s="83"/>
      <c r="Q151" s="69"/>
      <c r="R151" s="83"/>
    </row>
    <row r="152" spans="1:18" x14ac:dyDescent="0.15">
      <c r="B152" s="53" t="s">
        <v>24</v>
      </c>
      <c r="G152" s="69"/>
      <c r="H152" s="69"/>
      <c r="I152" s="98"/>
      <c r="J152" s="69"/>
      <c r="K152" s="98"/>
      <c r="L152" s="69"/>
      <c r="M152" s="98"/>
      <c r="N152" s="69"/>
      <c r="O152" s="98"/>
      <c r="P152" s="69"/>
      <c r="Q152" s="98"/>
      <c r="R152" s="69"/>
    </row>
    <row r="153" spans="1:18" x14ac:dyDescent="0.15">
      <c r="C153" s="52" t="s">
        <v>67</v>
      </c>
      <c r="D153" s="52"/>
      <c r="E153" s="91"/>
      <c r="F153" s="75">
        <f>SUM(H153:L153)</f>
        <v>6000</v>
      </c>
      <c r="G153" s="92"/>
      <c r="H153" s="90">
        <v>0</v>
      </c>
      <c r="I153" s="93"/>
      <c r="J153" s="90">
        <v>4000</v>
      </c>
      <c r="K153" s="93"/>
      <c r="L153" s="90">
        <v>2000</v>
      </c>
      <c r="M153" s="93"/>
      <c r="N153" s="90">
        <v>1000</v>
      </c>
      <c r="O153" s="93"/>
      <c r="P153" s="90">
        <v>5000</v>
      </c>
      <c r="Q153" s="93"/>
      <c r="R153" s="90">
        <v>0</v>
      </c>
    </row>
    <row r="154" spans="1:18" x14ac:dyDescent="0.15">
      <c r="C154" s="86" t="s">
        <v>39</v>
      </c>
      <c r="D154" s="52"/>
      <c r="E154" s="91"/>
      <c r="F154" s="94">
        <f>SUM(H154:L154)</f>
        <v>8000</v>
      </c>
      <c r="G154" s="69"/>
      <c r="H154" s="95">
        <v>0</v>
      </c>
      <c r="I154" s="90"/>
      <c r="J154" s="95">
        <v>0</v>
      </c>
      <c r="K154" s="90"/>
      <c r="L154" s="95">
        <v>8000</v>
      </c>
      <c r="M154" s="90"/>
      <c r="N154" s="95">
        <v>0</v>
      </c>
      <c r="O154" s="90"/>
      <c r="P154" s="95">
        <v>8000</v>
      </c>
      <c r="Q154" s="90"/>
      <c r="R154" s="95">
        <v>0</v>
      </c>
    </row>
    <row r="155" spans="1:18" x14ac:dyDescent="0.15"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</row>
    <row r="156" spans="1:18" x14ac:dyDescent="0.15">
      <c r="E156" s="52" t="s">
        <v>3</v>
      </c>
      <c r="F156" s="94">
        <f>SUM(H156:L156)</f>
        <v>14000</v>
      </c>
      <c r="G156" s="69"/>
      <c r="H156" s="94">
        <f>SUM(H153:H155)</f>
        <v>0</v>
      </c>
      <c r="I156" s="75"/>
      <c r="J156" s="94">
        <f>SUM(J153:J155)</f>
        <v>4000</v>
      </c>
      <c r="K156" s="75"/>
      <c r="L156" s="94">
        <f>SUM(L153:L155)</f>
        <v>10000</v>
      </c>
      <c r="M156" s="75"/>
      <c r="N156" s="94">
        <f>SUM(N153:N155)</f>
        <v>1000</v>
      </c>
      <c r="O156" s="75"/>
      <c r="P156" s="94">
        <f>SUM(P153:P155)</f>
        <v>13000</v>
      </c>
      <c r="Q156" s="75"/>
      <c r="R156" s="94">
        <f>SUM(R153:R155)</f>
        <v>0</v>
      </c>
    </row>
    <row r="157" spans="1:18" x14ac:dyDescent="0.15">
      <c r="G157" s="69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</row>
    <row r="158" spans="1:18" x14ac:dyDescent="0.15">
      <c r="A158" s="88"/>
      <c r="B158" s="52" t="s">
        <v>29</v>
      </c>
      <c r="C158" s="52"/>
      <c r="D158" s="52"/>
      <c r="F158" s="94">
        <f>SUM(H158:L158)</f>
        <v>159000</v>
      </c>
      <c r="G158" s="69"/>
      <c r="H158" s="95">
        <v>0</v>
      </c>
      <c r="I158" s="90"/>
      <c r="J158" s="95">
        <v>159000</v>
      </c>
      <c r="K158" s="90"/>
      <c r="L158" s="95">
        <v>0</v>
      </c>
      <c r="M158" s="90"/>
      <c r="N158" s="95">
        <v>135000</v>
      </c>
      <c r="O158" s="90"/>
      <c r="P158" s="95">
        <v>24000</v>
      </c>
      <c r="Q158" s="90"/>
      <c r="R158" s="95">
        <v>0</v>
      </c>
    </row>
    <row r="159" spans="1:18" x14ac:dyDescent="0.15">
      <c r="G159" s="69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</row>
    <row r="160" spans="1:18" x14ac:dyDescent="0.15">
      <c r="E160" s="52" t="s">
        <v>70</v>
      </c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</row>
    <row r="161" spans="1:18" x14ac:dyDescent="0.15">
      <c r="E161" s="52" t="s">
        <v>71</v>
      </c>
      <c r="F161" s="94">
        <f>SUM(H161:L161)</f>
        <v>20442000</v>
      </c>
      <c r="G161" s="69"/>
      <c r="H161" s="94">
        <f>+H150+H156+H158</f>
        <v>15460000</v>
      </c>
      <c r="I161" s="69"/>
      <c r="J161" s="94">
        <f>+J150+J156+J158</f>
        <v>2723000</v>
      </c>
      <c r="K161" s="69"/>
      <c r="L161" s="94">
        <f>+L150+L156+L158</f>
        <v>2259000</v>
      </c>
      <c r="M161" s="69"/>
      <c r="N161" s="94">
        <f>+N150+N156+N158</f>
        <v>12858000</v>
      </c>
      <c r="O161" s="69"/>
      <c r="P161" s="94">
        <f>+P150+P156+P158</f>
        <v>7717000</v>
      </c>
      <c r="Q161" s="69"/>
      <c r="R161" s="94">
        <f>+R150+R156+R158</f>
        <v>133000</v>
      </c>
    </row>
    <row r="162" spans="1:18" x14ac:dyDescent="0.15">
      <c r="G162" s="69"/>
      <c r="H162" s="75"/>
      <c r="I162" s="69"/>
      <c r="J162" s="75"/>
      <c r="K162" s="69"/>
      <c r="L162" s="75"/>
      <c r="M162" s="69"/>
      <c r="N162" s="75"/>
      <c r="O162" s="69"/>
      <c r="P162" s="75"/>
      <c r="Q162" s="69"/>
      <c r="R162" s="75"/>
    </row>
    <row r="163" spans="1:18" x14ac:dyDescent="0.15">
      <c r="A163" s="79" t="s">
        <v>72</v>
      </c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</row>
    <row r="164" spans="1:18" x14ac:dyDescent="0.15">
      <c r="A164" s="79"/>
      <c r="B164" s="79" t="s">
        <v>73</v>
      </c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</row>
    <row r="165" spans="1:18" x14ac:dyDescent="0.15"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</row>
    <row r="166" spans="1:18" x14ac:dyDescent="0.15">
      <c r="B166" s="53" t="s">
        <v>13</v>
      </c>
      <c r="C166" s="52"/>
      <c r="D166" s="52"/>
      <c r="E166" s="91"/>
      <c r="F166" s="94">
        <f>SUM(H166:L166)</f>
        <v>7530000</v>
      </c>
      <c r="G166" s="69"/>
      <c r="H166" s="95">
        <v>3692000</v>
      </c>
      <c r="I166" s="90"/>
      <c r="J166" s="95">
        <v>2276000</v>
      </c>
      <c r="K166" s="90"/>
      <c r="L166" s="95">
        <v>1562000</v>
      </c>
      <c r="M166" s="90"/>
      <c r="N166" s="95">
        <v>4777000</v>
      </c>
      <c r="O166" s="90"/>
      <c r="P166" s="95">
        <v>2753000</v>
      </c>
      <c r="Q166" s="90"/>
      <c r="R166" s="95">
        <v>0</v>
      </c>
    </row>
    <row r="167" spans="1:18" x14ac:dyDescent="0.15"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</row>
    <row r="168" spans="1:18" x14ac:dyDescent="0.15">
      <c r="B168" s="53" t="s">
        <v>24</v>
      </c>
      <c r="F168" s="94">
        <f>SUM(H168:L168)</f>
        <v>201000</v>
      </c>
      <c r="G168" s="69"/>
      <c r="H168" s="95">
        <v>0</v>
      </c>
      <c r="I168" s="90"/>
      <c r="J168" s="95">
        <v>1000</v>
      </c>
      <c r="K168" s="90"/>
      <c r="L168" s="95">
        <v>200000</v>
      </c>
      <c r="M168" s="90"/>
      <c r="N168" s="95">
        <v>92000</v>
      </c>
      <c r="O168" s="90"/>
      <c r="P168" s="95">
        <v>109000</v>
      </c>
      <c r="Q168" s="90"/>
      <c r="R168" s="95">
        <v>0</v>
      </c>
    </row>
    <row r="169" spans="1:18" x14ac:dyDescent="0.15"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</row>
    <row r="170" spans="1:18" x14ac:dyDescent="0.15">
      <c r="A170" s="88"/>
      <c r="B170" s="88" t="s">
        <v>28</v>
      </c>
      <c r="C170" s="52"/>
      <c r="D170" s="52"/>
      <c r="F170" s="94">
        <f>SUM(H170:L170)</f>
        <v>40000</v>
      </c>
      <c r="G170" s="69"/>
      <c r="H170" s="95">
        <v>0</v>
      </c>
      <c r="I170" s="90"/>
      <c r="J170" s="95">
        <v>0</v>
      </c>
      <c r="K170" s="90"/>
      <c r="L170" s="95">
        <v>40000</v>
      </c>
      <c r="M170" s="90"/>
      <c r="N170" s="95">
        <v>30000</v>
      </c>
      <c r="O170" s="90"/>
      <c r="P170" s="95">
        <v>10000</v>
      </c>
      <c r="Q170" s="90"/>
      <c r="R170" s="95">
        <v>0</v>
      </c>
    </row>
    <row r="171" spans="1:18" x14ac:dyDescent="0.15">
      <c r="A171" s="88"/>
      <c r="B171" s="88"/>
      <c r="C171" s="52"/>
      <c r="D171" s="52"/>
      <c r="G171" s="69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0"/>
    </row>
    <row r="172" spans="1:18" x14ac:dyDescent="0.15">
      <c r="B172" s="53" t="s">
        <v>29</v>
      </c>
      <c r="F172" s="94">
        <f>SUM(H172:L172)</f>
        <v>8000</v>
      </c>
      <c r="G172" s="69"/>
      <c r="H172" s="95">
        <v>0</v>
      </c>
      <c r="I172" s="90"/>
      <c r="J172" s="95">
        <v>5000</v>
      </c>
      <c r="K172" s="90"/>
      <c r="L172" s="95">
        <v>3000</v>
      </c>
      <c r="M172" s="90"/>
      <c r="N172" s="95">
        <v>8000</v>
      </c>
      <c r="O172" s="90"/>
      <c r="P172" s="95">
        <v>0</v>
      </c>
      <c r="Q172" s="90"/>
      <c r="R172" s="95">
        <v>0</v>
      </c>
    </row>
    <row r="173" spans="1:18" x14ac:dyDescent="0.15">
      <c r="G173" s="69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0"/>
    </row>
    <row r="174" spans="1:18" x14ac:dyDescent="0.15">
      <c r="B174" s="79"/>
      <c r="E174" s="52" t="s">
        <v>74</v>
      </c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</row>
    <row r="175" spans="1:18" x14ac:dyDescent="0.15">
      <c r="B175" s="79"/>
      <c r="E175" s="52" t="s">
        <v>75</v>
      </c>
      <c r="F175" s="94">
        <f>SUM(H175:L175)</f>
        <v>7779000</v>
      </c>
      <c r="G175" s="69"/>
      <c r="H175" s="94">
        <f>+H166+H168+H172+H170</f>
        <v>3692000</v>
      </c>
      <c r="I175" s="75"/>
      <c r="J175" s="94">
        <f>+J166+J168+J172+J170</f>
        <v>2282000</v>
      </c>
      <c r="K175" s="75"/>
      <c r="L175" s="94">
        <f>+L166+L168+L172+L170</f>
        <v>1805000</v>
      </c>
      <c r="M175" s="75"/>
      <c r="N175" s="94">
        <f>+N166+N168+N172+N170</f>
        <v>4907000</v>
      </c>
      <c r="O175" s="75"/>
      <c r="P175" s="94">
        <f>+P166+P168+P172+P170</f>
        <v>2872000</v>
      </c>
      <c r="Q175" s="75"/>
      <c r="R175" s="94">
        <f>+R166+R168+R172+R170</f>
        <v>0</v>
      </c>
    </row>
    <row r="176" spans="1:18" x14ac:dyDescent="0.15">
      <c r="B176" s="79"/>
      <c r="G176" s="69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</row>
    <row r="177" spans="1:18" x14ac:dyDescent="0.15">
      <c r="A177" s="79" t="s">
        <v>76</v>
      </c>
      <c r="B177" s="79"/>
      <c r="F177" s="52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</row>
    <row r="178" spans="1:18" x14ac:dyDescent="0.15">
      <c r="B178" s="79"/>
      <c r="C178" s="79"/>
      <c r="E178" s="53"/>
      <c r="F178" s="52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</row>
    <row r="179" spans="1:18" x14ac:dyDescent="0.15">
      <c r="B179" s="53" t="s">
        <v>13</v>
      </c>
      <c r="F179" s="94">
        <f>SUM(H179:L179)</f>
        <v>30495000</v>
      </c>
      <c r="G179" s="69"/>
      <c r="H179" s="95">
        <v>16403000</v>
      </c>
      <c r="I179" s="90"/>
      <c r="J179" s="95">
        <v>11660000</v>
      </c>
      <c r="K179" s="90"/>
      <c r="L179" s="95">
        <v>2432000</v>
      </c>
      <c r="M179" s="90"/>
      <c r="N179" s="95">
        <v>21206000</v>
      </c>
      <c r="O179" s="90"/>
      <c r="P179" s="95">
        <v>9289000</v>
      </c>
      <c r="Q179" s="90"/>
      <c r="R179" s="95">
        <v>0</v>
      </c>
    </row>
    <row r="180" spans="1:18" x14ac:dyDescent="0.15"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</row>
    <row r="181" spans="1:18" x14ac:dyDescent="0.15">
      <c r="B181" s="53" t="s">
        <v>24</v>
      </c>
      <c r="F181" s="94">
        <f>SUM(H181:L181)</f>
        <v>10357000</v>
      </c>
      <c r="G181" s="69"/>
      <c r="H181" s="95">
        <v>2701000</v>
      </c>
      <c r="I181" s="90"/>
      <c r="J181" s="95">
        <v>2783000</v>
      </c>
      <c r="K181" s="90"/>
      <c r="L181" s="95">
        <v>4873000</v>
      </c>
      <c r="M181" s="90"/>
      <c r="N181" s="95">
        <v>6119000</v>
      </c>
      <c r="O181" s="90"/>
      <c r="P181" s="95">
        <v>4247000</v>
      </c>
      <c r="Q181" s="90"/>
      <c r="R181" s="95">
        <v>9000</v>
      </c>
    </row>
    <row r="183" spans="1:18" x14ac:dyDescent="0.15">
      <c r="B183" s="53" t="s">
        <v>29</v>
      </c>
      <c r="F183" s="94">
        <f>SUM(H183:L183)</f>
        <v>14736000</v>
      </c>
      <c r="G183" s="69"/>
      <c r="H183" s="95">
        <v>3024000</v>
      </c>
      <c r="I183" s="90"/>
      <c r="J183" s="95">
        <v>10813000</v>
      </c>
      <c r="K183" s="90"/>
      <c r="L183" s="95">
        <v>899000</v>
      </c>
      <c r="M183" s="90"/>
      <c r="N183" s="95">
        <v>7532000</v>
      </c>
      <c r="O183" s="90"/>
      <c r="P183" s="95">
        <v>7204000</v>
      </c>
      <c r="Q183" s="90"/>
      <c r="R183" s="95">
        <v>0</v>
      </c>
    </row>
    <row r="184" spans="1:18" x14ac:dyDescent="0.15"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</row>
    <row r="185" spans="1:18" x14ac:dyDescent="0.15">
      <c r="E185" s="52" t="s">
        <v>77</v>
      </c>
      <c r="F185" s="94">
        <f>SUM(H185:L185)</f>
        <v>55588000</v>
      </c>
      <c r="G185" s="69"/>
      <c r="H185" s="94">
        <f>+H179+H181+H183</f>
        <v>22128000</v>
      </c>
      <c r="I185" s="75"/>
      <c r="J185" s="94">
        <f>+J179+J181+J183</f>
        <v>25256000</v>
      </c>
      <c r="K185" s="75"/>
      <c r="L185" s="94">
        <f>+L179+L181+L183</f>
        <v>8204000</v>
      </c>
      <c r="M185" s="75"/>
      <c r="N185" s="94">
        <f>+N179+N181+N183</f>
        <v>34857000</v>
      </c>
      <c r="O185" s="75"/>
      <c r="P185" s="94">
        <f>+P179+P181+P183</f>
        <v>20740000</v>
      </c>
      <c r="Q185" s="75"/>
      <c r="R185" s="94">
        <f>+R179+R181+R183</f>
        <v>9000</v>
      </c>
    </row>
    <row r="186" spans="1:18" x14ac:dyDescent="0.15"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</row>
    <row r="187" spans="1:18" x14ac:dyDescent="0.15">
      <c r="A187" s="79" t="s">
        <v>78</v>
      </c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</row>
    <row r="188" spans="1:18" x14ac:dyDescent="0.15"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</row>
    <row r="189" spans="1:18" x14ac:dyDescent="0.15">
      <c r="B189" s="53" t="s">
        <v>13</v>
      </c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</row>
    <row r="190" spans="1:18" x14ac:dyDescent="0.15">
      <c r="C190" s="52" t="s">
        <v>79</v>
      </c>
      <c r="D190" s="52"/>
      <c r="E190" s="91"/>
      <c r="F190" s="75">
        <f>SUM(H190:L190)</f>
        <v>3305000</v>
      </c>
      <c r="G190" s="92"/>
      <c r="H190" s="90">
        <v>2925000</v>
      </c>
      <c r="I190" s="93"/>
      <c r="J190" s="90">
        <v>331000</v>
      </c>
      <c r="K190" s="93"/>
      <c r="L190" s="90">
        <v>49000</v>
      </c>
      <c r="M190" s="93"/>
      <c r="N190" s="90">
        <v>2149000</v>
      </c>
      <c r="O190" s="93"/>
      <c r="P190" s="90">
        <v>1156000</v>
      </c>
      <c r="Q190" s="93"/>
      <c r="R190" s="90">
        <v>0</v>
      </c>
    </row>
    <row r="191" spans="1:18" x14ac:dyDescent="0.15">
      <c r="C191" s="52" t="s">
        <v>80</v>
      </c>
      <c r="D191" s="52"/>
      <c r="E191" s="91"/>
      <c r="G191" s="69"/>
      <c r="H191" s="90"/>
      <c r="I191" s="90"/>
      <c r="J191" s="90"/>
      <c r="K191" s="90"/>
      <c r="L191" s="90"/>
      <c r="M191" s="90"/>
      <c r="N191" s="90"/>
      <c r="O191" s="90"/>
      <c r="P191" s="90"/>
      <c r="Q191" s="90"/>
      <c r="R191" s="90"/>
    </row>
    <row r="192" spans="1:18" x14ac:dyDescent="0.15">
      <c r="C192" s="52"/>
      <c r="D192" s="52"/>
      <c r="E192" s="91" t="s">
        <v>81</v>
      </c>
      <c r="F192" s="75">
        <f t="shared" ref="F192:F206" si="5">SUM(H192:L192)</f>
        <v>193000</v>
      </c>
      <c r="G192" s="92"/>
      <c r="H192" s="90">
        <v>8000</v>
      </c>
      <c r="I192" s="93"/>
      <c r="J192" s="90">
        <v>0</v>
      </c>
      <c r="K192" s="93"/>
      <c r="L192" s="90">
        <v>185000</v>
      </c>
      <c r="M192" s="93"/>
      <c r="N192" s="90">
        <v>77000</v>
      </c>
      <c r="O192" s="93"/>
      <c r="P192" s="90">
        <v>116000</v>
      </c>
      <c r="Q192" s="93"/>
      <c r="R192" s="90">
        <v>0</v>
      </c>
    </row>
    <row r="193" spans="3:18" x14ac:dyDescent="0.15">
      <c r="C193" s="52" t="s">
        <v>82</v>
      </c>
      <c r="D193" s="52"/>
      <c r="E193" s="91"/>
      <c r="F193" s="75">
        <f t="shared" si="5"/>
        <v>8373000</v>
      </c>
      <c r="G193" s="92"/>
      <c r="H193" s="90">
        <v>7275000</v>
      </c>
      <c r="I193" s="93"/>
      <c r="J193" s="90">
        <v>467000</v>
      </c>
      <c r="K193" s="93"/>
      <c r="L193" s="90">
        <v>631000</v>
      </c>
      <c r="M193" s="93"/>
      <c r="N193" s="90">
        <v>5309000</v>
      </c>
      <c r="O193" s="93"/>
      <c r="P193" s="90">
        <v>3064000</v>
      </c>
      <c r="Q193" s="93"/>
      <c r="R193" s="90">
        <v>0</v>
      </c>
    </row>
    <row r="194" spans="3:18" x14ac:dyDescent="0.15">
      <c r="C194" s="52" t="s">
        <v>83</v>
      </c>
      <c r="D194" s="52"/>
      <c r="E194" s="91"/>
      <c r="F194" s="75">
        <f t="shared" si="5"/>
        <v>702000</v>
      </c>
      <c r="G194" s="92"/>
      <c r="H194" s="90">
        <v>64000</v>
      </c>
      <c r="I194" s="93"/>
      <c r="J194" s="90">
        <v>244000</v>
      </c>
      <c r="K194" s="93"/>
      <c r="L194" s="90">
        <v>394000</v>
      </c>
      <c r="M194" s="93"/>
      <c r="N194" s="90">
        <v>279000</v>
      </c>
      <c r="O194" s="93"/>
      <c r="P194" s="90">
        <v>423000</v>
      </c>
      <c r="Q194" s="93"/>
      <c r="R194" s="90">
        <v>0</v>
      </c>
    </row>
    <row r="195" spans="3:18" x14ac:dyDescent="0.15">
      <c r="C195" s="52" t="s">
        <v>84</v>
      </c>
      <c r="D195" s="52"/>
      <c r="E195" s="91"/>
      <c r="F195" s="75">
        <f t="shared" si="5"/>
        <v>4407000</v>
      </c>
      <c r="G195" s="92"/>
      <c r="H195" s="90">
        <v>3785000</v>
      </c>
      <c r="I195" s="93"/>
      <c r="J195" s="90">
        <v>289000</v>
      </c>
      <c r="K195" s="93"/>
      <c r="L195" s="90">
        <v>333000</v>
      </c>
      <c r="M195" s="93"/>
      <c r="N195" s="90">
        <v>2823000</v>
      </c>
      <c r="O195" s="93"/>
      <c r="P195" s="90">
        <v>1584000</v>
      </c>
      <c r="Q195" s="93"/>
      <c r="R195" s="90">
        <v>0</v>
      </c>
    </row>
    <row r="196" spans="3:18" x14ac:dyDescent="0.15">
      <c r="C196" s="52" t="s">
        <v>85</v>
      </c>
      <c r="D196" s="52"/>
      <c r="E196" s="91"/>
      <c r="F196" s="75">
        <f t="shared" si="5"/>
        <v>2603000</v>
      </c>
      <c r="G196" s="92"/>
      <c r="H196" s="90">
        <v>2272000</v>
      </c>
      <c r="I196" s="93"/>
      <c r="J196" s="90">
        <v>246000</v>
      </c>
      <c r="K196" s="93"/>
      <c r="L196" s="90">
        <v>85000</v>
      </c>
      <c r="M196" s="93"/>
      <c r="N196" s="90">
        <v>1719000</v>
      </c>
      <c r="O196" s="93"/>
      <c r="P196" s="90">
        <v>884000</v>
      </c>
      <c r="Q196" s="93"/>
      <c r="R196" s="90">
        <v>0</v>
      </c>
    </row>
    <row r="197" spans="3:18" x14ac:dyDescent="0.15">
      <c r="C197" s="52" t="s">
        <v>86</v>
      </c>
      <c r="D197" s="52"/>
      <c r="E197" s="91"/>
      <c r="F197" s="75">
        <f t="shared" si="5"/>
        <v>4786000</v>
      </c>
      <c r="G197" s="92"/>
      <c r="H197" s="90">
        <v>3377000</v>
      </c>
      <c r="I197" s="93"/>
      <c r="J197" s="90">
        <v>555000</v>
      </c>
      <c r="K197" s="93"/>
      <c r="L197" s="90">
        <v>854000</v>
      </c>
      <c r="M197" s="93"/>
      <c r="N197" s="90">
        <v>2872000</v>
      </c>
      <c r="O197" s="93"/>
      <c r="P197" s="90">
        <v>1914000</v>
      </c>
      <c r="Q197" s="93"/>
      <c r="R197" s="90">
        <v>0</v>
      </c>
    </row>
    <row r="198" spans="3:18" x14ac:dyDescent="0.15">
      <c r="C198" s="52" t="s">
        <v>87</v>
      </c>
      <c r="D198" s="52"/>
      <c r="E198" s="91"/>
      <c r="F198" s="75">
        <f t="shared" si="5"/>
        <v>892000</v>
      </c>
      <c r="G198" s="92"/>
      <c r="H198" s="90">
        <v>576000</v>
      </c>
      <c r="I198" s="93"/>
      <c r="J198" s="90">
        <v>207000</v>
      </c>
      <c r="K198" s="93"/>
      <c r="L198" s="90">
        <v>109000</v>
      </c>
      <c r="M198" s="93"/>
      <c r="N198" s="90">
        <v>291000</v>
      </c>
      <c r="O198" s="93"/>
      <c r="P198" s="90">
        <v>601000</v>
      </c>
      <c r="Q198" s="93"/>
      <c r="R198" s="90">
        <v>0</v>
      </c>
    </row>
    <row r="199" spans="3:18" x14ac:dyDescent="0.15">
      <c r="C199" s="52" t="s">
        <v>88</v>
      </c>
      <c r="D199" s="52"/>
      <c r="E199" s="91"/>
      <c r="F199" s="75">
        <f t="shared" si="5"/>
        <v>3380000</v>
      </c>
      <c r="G199" s="92"/>
      <c r="H199" s="90">
        <v>3315000</v>
      </c>
      <c r="I199" s="93"/>
      <c r="J199" s="90">
        <v>62000</v>
      </c>
      <c r="K199" s="93"/>
      <c r="L199" s="90">
        <v>3000</v>
      </c>
      <c r="M199" s="93"/>
      <c r="N199" s="90">
        <v>2265000</v>
      </c>
      <c r="O199" s="93"/>
      <c r="P199" s="90">
        <v>1115000</v>
      </c>
      <c r="Q199" s="93"/>
      <c r="R199" s="90">
        <v>0</v>
      </c>
    </row>
    <row r="200" spans="3:18" x14ac:dyDescent="0.15">
      <c r="C200" s="52" t="s">
        <v>89</v>
      </c>
      <c r="D200" s="52"/>
      <c r="E200" s="91"/>
      <c r="F200" s="75">
        <f t="shared" si="5"/>
        <v>365000</v>
      </c>
      <c r="G200" s="69"/>
      <c r="H200" s="86">
        <v>355000</v>
      </c>
      <c r="I200" s="90"/>
      <c r="J200" s="90">
        <v>0</v>
      </c>
      <c r="K200" s="90"/>
      <c r="L200" s="90">
        <v>10000</v>
      </c>
      <c r="M200" s="90"/>
      <c r="N200" s="90">
        <v>338000</v>
      </c>
      <c r="O200" s="90"/>
      <c r="P200" s="90">
        <v>27000</v>
      </c>
      <c r="Q200" s="90"/>
      <c r="R200" s="90">
        <v>0</v>
      </c>
    </row>
    <row r="201" spans="3:18" x14ac:dyDescent="0.15">
      <c r="C201" s="52" t="s">
        <v>90</v>
      </c>
      <c r="D201" s="52"/>
      <c r="E201" s="91"/>
      <c r="G201" s="92"/>
      <c r="H201" s="90"/>
      <c r="I201" s="93"/>
      <c r="J201" s="90"/>
      <c r="K201" s="93"/>
      <c r="L201" s="90"/>
      <c r="M201" s="93"/>
      <c r="N201" s="90"/>
      <c r="O201" s="93"/>
      <c r="P201" s="90"/>
      <c r="Q201" s="93"/>
      <c r="R201" s="90"/>
    </row>
    <row r="202" spans="3:18" x14ac:dyDescent="0.15">
      <c r="C202" s="52" t="s">
        <v>22</v>
      </c>
      <c r="D202" s="52" t="s">
        <v>22</v>
      </c>
      <c r="E202" s="91" t="s">
        <v>91</v>
      </c>
      <c r="F202" s="75">
        <f>SUM(H202:L202)</f>
        <v>26000</v>
      </c>
      <c r="G202" s="92"/>
      <c r="H202" s="90">
        <v>2000</v>
      </c>
      <c r="I202" s="93"/>
      <c r="J202" s="90">
        <v>24000</v>
      </c>
      <c r="K202" s="93"/>
      <c r="L202" s="90">
        <v>0</v>
      </c>
      <c r="M202" s="93"/>
      <c r="N202" s="90">
        <v>2000</v>
      </c>
      <c r="O202" s="93"/>
      <c r="P202" s="90">
        <v>24000</v>
      </c>
      <c r="Q202" s="93"/>
      <c r="R202" s="90">
        <v>0</v>
      </c>
    </row>
    <row r="203" spans="3:18" x14ac:dyDescent="0.15">
      <c r="C203" s="52" t="s">
        <v>92</v>
      </c>
      <c r="D203" s="52"/>
      <c r="E203" s="91"/>
      <c r="F203" s="75">
        <f t="shared" si="5"/>
        <v>50000</v>
      </c>
      <c r="G203" s="92"/>
      <c r="H203" s="90">
        <v>1000</v>
      </c>
      <c r="I203" s="93"/>
      <c r="J203" s="90">
        <v>36000</v>
      </c>
      <c r="K203" s="93"/>
      <c r="L203" s="90">
        <v>13000</v>
      </c>
      <c r="M203" s="93"/>
      <c r="N203" s="90">
        <v>27000</v>
      </c>
      <c r="O203" s="93"/>
      <c r="P203" s="90">
        <v>23000</v>
      </c>
      <c r="Q203" s="93"/>
      <c r="R203" s="90">
        <v>0</v>
      </c>
    </row>
    <row r="204" spans="3:18" x14ac:dyDescent="0.15">
      <c r="C204" s="52" t="s">
        <v>93</v>
      </c>
      <c r="D204" s="52"/>
      <c r="E204" s="91"/>
      <c r="F204" s="75">
        <f t="shared" si="5"/>
        <v>3569000</v>
      </c>
      <c r="G204" s="92"/>
      <c r="H204" s="90">
        <v>2729000</v>
      </c>
      <c r="I204" s="93"/>
      <c r="J204" s="90">
        <v>245000</v>
      </c>
      <c r="K204" s="93"/>
      <c r="L204" s="90">
        <v>595000</v>
      </c>
      <c r="M204" s="93"/>
      <c r="N204" s="90">
        <v>2202000</v>
      </c>
      <c r="O204" s="93"/>
      <c r="P204" s="90">
        <v>1367000</v>
      </c>
      <c r="Q204" s="93"/>
      <c r="R204" s="90">
        <v>0</v>
      </c>
    </row>
    <row r="205" spans="3:18" x14ac:dyDescent="0.15">
      <c r="C205" s="52" t="s">
        <v>94</v>
      </c>
      <c r="D205" s="52"/>
      <c r="E205" s="91"/>
      <c r="F205" s="75">
        <f t="shared" si="5"/>
        <v>2474000</v>
      </c>
      <c r="G205" s="92"/>
      <c r="H205" s="90">
        <v>1880000</v>
      </c>
      <c r="I205" s="93"/>
      <c r="J205" s="90">
        <v>593000</v>
      </c>
      <c r="K205" s="93"/>
      <c r="L205" s="90">
        <v>1000</v>
      </c>
      <c r="M205" s="93"/>
      <c r="N205" s="90">
        <v>1704000</v>
      </c>
      <c r="O205" s="93"/>
      <c r="P205" s="90">
        <v>770000</v>
      </c>
      <c r="Q205" s="93"/>
      <c r="R205" s="90">
        <v>0</v>
      </c>
    </row>
    <row r="206" spans="3:18" x14ac:dyDescent="0.15">
      <c r="C206" s="52" t="s">
        <v>95</v>
      </c>
      <c r="D206" s="52"/>
      <c r="E206" s="91"/>
      <c r="F206" s="75">
        <f t="shared" si="5"/>
        <v>3349000</v>
      </c>
      <c r="G206" s="69"/>
      <c r="H206" s="86">
        <v>3200000</v>
      </c>
      <c r="I206" s="90"/>
      <c r="J206" s="90">
        <v>50000</v>
      </c>
      <c r="K206" s="90"/>
      <c r="L206" s="90">
        <v>99000</v>
      </c>
      <c r="M206" s="90"/>
      <c r="N206" s="90">
        <v>2188000</v>
      </c>
      <c r="O206" s="90"/>
      <c r="P206" s="90">
        <v>1161000</v>
      </c>
      <c r="Q206" s="90"/>
      <c r="R206" s="90">
        <v>0</v>
      </c>
    </row>
    <row r="207" spans="3:18" x14ac:dyDescent="0.15">
      <c r="C207" s="52" t="s">
        <v>96</v>
      </c>
      <c r="D207" s="52"/>
      <c r="E207" s="91"/>
      <c r="G207" s="92"/>
      <c r="H207" s="90"/>
      <c r="I207" s="93"/>
      <c r="J207" s="90"/>
      <c r="K207" s="93"/>
      <c r="L207" s="90"/>
      <c r="M207" s="93"/>
      <c r="N207" s="90"/>
      <c r="O207" s="93"/>
      <c r="P207" s="90"/>
      <c r="Q207" s="93"/>
      <c r="R207" s="90"/>
    </row>
    <row r="208" spans="3:18" x14ac:dyDescent="0.15">
      <c r="C208" s="52" t="s">
        <v>22</v>
      </c>
      <c r="D208" s="52" t="s">
        <v>22</v>
      </c>
      <c r="E208" s="91" t="s">
        <v>97</v>
      </c>
      <c r="F208" s="75">
        <f t="shared" ref="F208:F220" si="6">SUM(H208:L208)</f>
        <v>595000</v>
      </c>
      <c r="G208" s="92"/>
      <c r="H208" s="90">
        <v>547000</v>
      </c>
      <c r="I208" s="93"/>
      <c r="J208" s="90">
        <v>48000</v>
      </c>
      <c r="K208" s="93"/>
      <c r="L208" s="90">
        <v>0</v>
      </c>
      <c r="M208" s="93"/>
      <c r="N208" s="90">
        <v>404000</v>
      </c>
      <c r="O208" s="93"/>
      <c r="P208" s="90">
        <v>191000</v>
      </c>
      <c r="Q208" s="93"/>
      <c r="R208" s="90">
        <v>0</v>
      </c>
    </row>
    <row r="209" spans="3:18" x14ac:dyDescent="0.15">
      <c r="C209" s="52" t="s">
        <v>39</v>
      </c>
      <c r="D209" s="52"/>
      <c r="E209" s="91"/>
      <c r="F209" s="75">
        <f t="shared" si="6"/>
        <v>8409000</v>
      </c>
      <c r="G209" s="92"/>
      <c r="H209" s="90">
        <v>5479000</v>
      </c>
      <c r="I209" s="93"/>
      <c r="J209" s="90">
        <v>1431000</v>
      </c>
      <c r="K209" s="93"/>
      <c r="L209" s="90">
        <v>1499000</v>
      </c>
      <c r="M209" s="93"/>
      <c r="N209" s="90">
        <v>5719000</v>
      </c>
      <c r="O209" s="93"/>
      <c r="P209" s="90">
        <v>3053000</v>
      </c>
      <c r="Q209" s="93"/>
      <c r="R209" s="90">
        <v>363000</v>
      </c>
    </row>
    <row r="210" spans="3:18" x14ac:dyDescent="0.15">
      <c r="C210" s="52" t="s">
        <v>98</v>
      </c>
      <c r="D210" s="52"/>
      <c r="E210" s="91"/>
      <c r="F210" s="75">
        <f t="shared" si="6"/>
        <v>1073000</v>
      </c>
      <c r="G210" s="92"/>
      <c r="H210" s="90">
        <v>1031000</v>
      </c>
      <c r="I210" s="93"/>
      <c r="J210" s="90">
        <v>26000</v>
      </c>
      <c r="K210" s="93"/>
      <c r="L210" s="90">
        <v>16000</v>
      </c>
      <c r="M210" s="93"/>
      <c r="N210" s="90">
        <v>689000</v>
      </c>
      <c r="O210" s="93"/>
      <c r="P210" s="90">
        <v>384000</v>
      </c>
      <c r="Q210" s="93"/>
      <c r="R210" s="90">
        <v>0</v>
      </c>
    </row>
    <row r="211" spans="3:18" x14ac:dyDescent="0.15">
      <c r="C211" s="52" t="s">
        <v>100</v>
      </c>
      <c r="D211" s="52"/>
      <c r="E211" s="91"/>
      <c r="F211" s="75">
        <f t="shared" si="6"/>
        <v>4703000</v>
      </c>
      <c r="G211" s="92"/>
      <c r="H211" s="90">
        <v>3819000</v>
      </c>
      <c r="I211" s="93"/>
      <c r="J211" s="90">
        <v>481000</v>
      </c>
      <c r="K211" s="93"/>
      <c r="L211" s="90">
        <v>403000</v>
      </c>
      <c r="M211" s="93"/>
      <c r="N211" s="90">
        <v>2909000</v>
      </c>
      <c r="O211" s="93"/>
      <c r="P211" s="90">
        <v>1794000</v>
      </c>
      <c r="Q211" s="93"/>
      <c r="R211" s="90">
        <v>0</v>
      </c>
    </row>
    <row r="212" spans="3:18" x14ac:dyDescent="0.15">
      <c r="C212" s="52" t="s">
        <v>101</v>
      </c>
      <c r="D212" s="52"/>
      <c r="E212" s="91"/>
      <c r="F212" s="75">
        <f t="shared" si="6"/>
        <v>5303000</v>
      </c>
      <c r="G212" s="92"/>
      <c r="H212" s="90">
        <v>4929000</v>
      </c>
      <c r="I212" s="93"/>
      <c r="J212" s="90">
        <v>126000</v>
      </c>
      <c r="K212" s="93"/>
      <c r="L212" s="90">
        <v>248000</v>
      </c>
      <c r="M212" s="93"/>
      <c r="N212" s="90">
        <v>3507000</v>
      </c>
      <c r="O212" s="93"/>
      <c r="P212" s="90">
        <v>1813000</v>
      </c>
      <c r="Q212" s="93"/>
      <c r="R212" s="90">
        <v>17000</v>
      </c>
    </row>
    <row r="213" spans="3:18" x14ac:dyDescent="0.15">
      <c r="C213" s="52" t="s">
        <v>102</v>
      </c>
      <c r="D213" s="52"/>
      <c r="E213" s="91"/>
      <c r="F213" s="75">
        <f t="shared" si="6"/>
        <v>5744000</v>
      </c>
      <c r="G213" s="92"/>
      <c r="H213" s="90">
        <v>4587000</v>
      </c>
      <c r="I213" s="93"/>
      <c r="J213" s="90">
        <v>463000</v>
      </c>
      <c r="K213" s="93"/>
      <c r="L213" s="90">
        <v>694000</v>
      </c>
      <c r="M213" s="93"/>
      <c r="N213" s="90">
        <v>3874000</v>
      </c>
      <c r="O213" s="93"/>
      <c r="P213" s="90">
        <v>1870000</v>
      </c>
      <c r="Q213" s="93"/>
      <c r="R213" s="90">
        <v>0</v>
      </c>
    </row>
    <row r="214" spans="3:18" x14ac:dyDescent="0.15">
      <c r="C214" s="52" t="s">
        <v>103</v>
      </c>
      <c r="D214" s="52"/>
      <c r="E214" s="91"/>
      <c r="F214" s="75">
        <f t="shared" si="6"/>
        <v>19480000</v>
      </c>
      <c r="G214" s="92"/>
      <c r="H214" s="90">
        <v>16301000</v>
      </c>
      <c r="I214" s="93"/>
      <c r="J214" s="90">
        <v>2002000</v>
      </c>
      <c r="K214" s="93"/>
      <c r="L214" s="90">
        <v>1177000</v>
      </c>
      <c r="M214" s="93"/>
      <c r="N214" s="90">
        <v>12740000</v>
      </c>
      <c r="O214" s="93"/>
      <c r="P214" s="90">
        <v>6741000</v>
      </c>
      <c r="Q214" s="93"/>
      <c r="R214" s="90">
        <v>1000</v>
      </c>
    </row>
    <row r="215" spans="3:18" x14ac:dyDescent="0.15">
      <c r="C215" s="52" t="s">
        <v>104</v>
      </c>
      <c r="D215" s="52"/>
      <c r="E215" s="91"/>
      <c r="F215" s="75">
        <f t="shared" si="6"/>
        <v>349000</v>
      </c>
      <c r="G215" s="92"/>
      <c r="H215" s="90">
        <v>349000</v>
      </c>
      <c r="I215" s="93"/>
      <c r="J215" s="90">
        <v>0</v>
      </c>
      <c r="K215" s="93"/>
      <c r="L215" s="90">
        <v>0</v>
      </c>
      <c r="M215" s="93"/>
      <c r="N215" s="90">
        <v>243000</v>
      </c>
      <c r="O215" s="93"/>
      <c r="P215" s="90">
        <v>106000</v>
      </c>
      <c r="Q215" s="93"/>
      <c r="R215" s="90">
        <v>0</v>
      </c>
    </row>
    <row r="216" spans="3:18" x14ac:dyDescent="0.15">
      <c r="C216" s="52" t="s">
        <v>105</v>
      </c>
      <c r="D216" s="52"/>
      <c r="E216" s="91"/>
      <c r="F216" s="75">
        <f t="shared" si="6"/>
        <v>13068000</v>
      </c>
      <c r="G216" s="92"/>
      <c r="H216" s="90">
        <v>12176000</v>
      </c>
      <c r="I216" s="93"/>
      <c r="J216" s="90">
        <v>510000</v>
      </c>
      <c r="K216" s="93"/>
      <c r="L216" s="90">
        <v>382000</v>
      </c>
      <c r="M216" s="93"/>
      <c r="N216" s="90">
        <v>8733000</v>
      </c>
      <c r="O216" s="93"/>
      <c r="P216" s="90">
        <v>4335000</v>
      </c>
      <c r="Q216" s="93"/>
      <c r="R216" s="90">
        <v>0</v>
      </c>
    </row>
    <row r="217" spans="3:18" x14ac:dyDescent="0.15">
      <c r="C217" s="52" t="s">
        <v>106</v>
      </c>
      <c r="D217" s="52"/>
      <c r="E217" s="91"/>
      <c r="F217" s="75">
        <f t="shared" si="6"/>
        <v>5261000</v>
      </c>
      <c r="G217" s="92"/>
      <c r="H217" s="90">
        <v>4675000</v>
      </c>
      <c r="I217" s="93"/>
      <c r="J217" s="90">
        <v>474000</v>
      </c>
      <c r="K217" s="93"/>
      <c r="L217" s="90">
        <v>112000</v>
      </c>
      <c r="M217" s="93"/>
      <c r="N217" s="90">
        <v>3526000</v>
      </c>
      <c r="O217" s="93"/>
      <c r="P217" s="90">
        <v>1735000</v>
      </c>
      <c r="Q217" s="93"/>
      <c r="R217" s="90">
        <v>0</v>
      </c>
    </row>
    <row r="218" spans="3:18" x14ac:dyDescent="0.15">
      <c r="C218" s="52" t="s">
        <v>107</v>
      </c>
      <c r="D218" s="52"/>
      <c r="E218" s="91"/>
      <c r="F218" s="75">
        <f t="shared" si="6"/>
        <v>2226000</v>
      </c>
      <c r="G218" s="92"/>
      <c r="H218" s="90">
        <v>1797000</v>
      </c>
      <c r="I218" s="93"/>
      <c r="J218" s="90">
        <v>376000</v>
      </c>
      <c r="K218" s="93"/>
      <c r="L218" s="90">
        <v>53000</v>
      </c>
      <c r="M218" s="93"/>
      <c r="N218" s="90">
        <v>1419000</v>
      </c>
      <c r="O218" s="93"/>
      <c r="P218" s="90">
        <v>807000</v>
      </c>
      <c r="Q218" s="93"/>
      <c r="R218" s="90">
        <v>0</v>
      </c>
    </row>
    <row r="219" spans="3:18" x14ac:dyDescent="0.15">
      <c r="C219" s="52" t="s">
        <v>108</v>
      </c>
      <c r="D219" s="52"/>
      <c r="E219" s="91"/>
      <c r="F219" s="75">
        <f t="shared" si="6"/>
        <v>3753000</v>
      </c>
      <c r="G219" s="92"/>
      <c r="H219" s="90">
        <v>3322000</v>
      </c>
      <c r="I219" s="93"/>
      <c r="J219" s="90">
        <v>170000</v>
      </c>
      <c r="K219" s="93"/>
      <c r="L219" s="90">
        <v>261000</v>
      </c>
      <c r="M219" s="93"/>
      <c r="N219" s="90">
        <v>2516000</v>
      </c>
      <c r="O219" s="93"/>
      <c r="P219" s="90">
        <v>1237000</v>
      </c>
      <c r="Q219" s="93"/>
      <c r="R219" s="90">
        <v>0</v>
      </c>
    </row>
    <row r="220" spans="3:18" x14ac:dyDescent="0.15">
      <c r="C220" s="52" t="s">
        <v>109</v>
      </c>
      <c r="D220" s="52"/>
      <c r="E220" s="91"/>
      <c r="F220" s="75">
        <f t="shared" si="6"/>
        <v>3928000</v>
      </c>
      <c r="G220" s="92"/>
      <c r="H220" s="90">
        <v>3464000</v>
      </c>
      <c r="I220" s="93"/>
      <c r="J220" s="90">
        <v>193000</v>
      </c>
      <c r="K220" s="93"/>
      <c r="L220" s="90">
        <v>271000</v>
      </c>
      <c r="M220" s="93"/>
      <c r="N220" s="90">
        <v>2586000</v>
      </c>
      <c r="O220" s="93"/>
      <c r="P220" s="90">
        <v>1342000</v>
      </c>
      <c r="Q220" s="93"/>
      <c r="R220" s="90">
        <v>0</v>
      </c>
    </row>
    <row r="221" spans="3:18" x14ac:dyDescent="0.15">
      <c r="C221" s="52" t="s">
        <v>110</v>
      </c>
      <c r="D221" s="52"/>
      <c r="E221" s="91"/>
      <c r="F221" s="75">
        <f>SUM(H221:L221)</f>
        <v>2866000</v>
      </c>
      <c r="G221" s="69"/>
      <c r="H221" s="90">
        <v>2685000</v>
      </c>
      <c r="I221" s="90"/>
      <c r="J221" s="90">
        <v>94000</v>
      </c>
      <c r="K221" s="90"/>
      <c r="L221" s="90">
        <v>87000</v>
      </c>
      <c r="M221" s="90"/>
      <c r="N221" s="90">
        <v>1843000</v>
      </c>
      <c r="O221" s="90"/>
      <c r="P221" s="90">
        <v>1023000</v>
      </c>
      <c r="Q221" s="90"/>
      <c r="R221" s="90">
        <v>0</v>
      </c>
    </row>
    <row r="222" spans="3:18" x14ac:dyDescent="0.15">
      <c r="C222" s="86" t="s">
        <v>111</v>
      </c>
      <c r="D222" s="52"/>
      <c r="E222" s="91"/>
      <c r="G222" s="92"/>
      <c r="H222" s="90"/>
      <c r="I222" s="93"/>
      <c r="J222" s="90"/>
      <c r="K222" s="93"/>
      <c r="L222" s="90"/>
      <c r="M222" s="93"/>
      <c r="N222" s="90"/>
      <c r="O222" s="93"/>
      <c r="P222" s="90"/>
      <c r="Q222" s="93"/>
      <c r="R222" s="90"/>
    </row>
    <row r="223" spans="3:18" x14ac:dyDescent="0.15">
      <c r="C223" s="52"/>
      <c r="D223" s="52"/>
      <c r="E223" s="91" t="s">
        <v>97</v>
      </c>
      <c r="F223" s="75">
        <f>SUM(H223:L223)</f>
        <v>593000</v>
      </c>
      <c r="G223" s="92"/>
      <c r="H223" s="90">
        <v>579000</v>
      </c>
      <c r="I223" s="93"/>
      <c r="J223" s="90">
        <v>4000</v>
      </c>
      <c r="K223" s="93"/>
      <c r="L223" s="90">
        <v>10000</v>
      </c>
      <c r="M223" s="93"/>
      <c r="N223" s="90">
        <v>394000</v>
      </c>
      <c r="O223" s="93"/>
      <c r="P223" s="90">
        <v>199000</v>
      </c>
      <c r="Q223" s="93"/>
      <c r="R223" s="90">
        <v>0</v>
      </c>
    </row>
    <row r="224" spans="3:18" x14ac:dyDescent="0.15">
      <c r="C224" s="52" t="s">
        <v>112</v>
      </c>
      <c r="D224" s="52"/>
      <c r="E224" s="91"/>
      <c r="F224" s="75">
        <f>SUM(H224:L224)</f>
        <v>13417000</v>
      </c>
      <c r="G224" s="92"/>
      <c r="H224" s="90">
        <v>11260000</v>
      </c>
      <c r="I224" s="93"/>
      <c r="J224" s="90">
        <v>1082000</v>
      </c>
      <c r="K224" s="93"/>
      <c r="L224" s="90">
        <v>1075000</v>
      </c>
      <c r="M224" s="93"/>
      <c r="N224" s="90">
        <v>8617000</v>
      </c>
      <c r="O224" s="93"/>
      <c r="P224" s="90">
        <v>4800000</v>
      </c>
      <c r="Q224" s="93"/>
      <c r="R224" s="90">
        <v>0</v>
      </c>
    </row>
    <row r="225" spans="3:18" x14ac:dyDescent="0.15">
      <c r="C225" s="52" t="s">
        <v>113</v>
      </c>
      <c r="D225" s="52"/>
      <c r="E225" s="91"/>
      <c r="F225" s="75">
        <f>SUM(H225:L225)</f>
        <v>288000</v>
      </c>
      <c r="G225" s="69"/>
      <c r="H225" s="90">
        <v>85000</v>
      </c>
      <c r="I225" s="90"/>
      <c r="J225" s="90">
        <v>91000</v>
      </c>
      <c r="K225" s="90"/>
      <c r="L225" s="90">
        <v>112000</v>
      </c>
      <c r="M225" s="90"/>
      <c r="N225" s="90">
        <v>158000</v>
      </c>
      <c r="O225" s="90"/>
      <c r="P225" s="90">
        <v>130000</v>
      </c>
      <c r="Q225" s="90"/>
      <c r="R225" s="90">
        <v>0</v>
      </c>
    </row>
    <row r="226" spans="3:18" x14ac:dyDescent="0.15">
      <c r="C226" s="52" t="s">
        <v>114</v>
      </c>
      <c r="D226" s="52"/>
      <c r="E226" s="91"/>
      <c r="F226" s="75">
        <f>SUM(H226:L226)</f>
        <v>13630000</v>
      </c>
      <c r="G226" s="69"/>
      <c r="H226" s="90">
        <v>10173000</v>
      </c>
      <c r="I226" s="90"/>
      <c r="J226" s="90">
        <v>1983000</v>
      </c>
      <c r="K226" s="90"/>
      <c r="L226" s="90">
        <v>1474000</v>
      </c>
      <c r="M226" s="90"/>
      <c r="N226" s="90">
        <v>8356000</v>
      </c>
      <c r="O226" s="90"/>
      <c r="P226" s="90">
        <v>5274000</v>
      </c>
      <c r="Q226" s="90"/>
      <c r="R226" s="90">
        <v>0</v>
      </c>
    </row>
    <row r="227" spans="3:18" x14ac:dyDescent="0.15">
      <c r="C227" s="52" t="s">
        <v>115</v>
      </c>
      <c r="D227" s="52"/>
      <c r="E227" s="91"/>
      <c r="G227" s="69"/>
      <c r="H227" s="90"/>
      <c r="I227" s="90"/>
      <c r="J227" s="90"/>
      <c r="K227" s="90"/>
      <c r="L227" s="90"/>
      <c r="M227" s="90"/>
      <c r="N227" s="90"/>
      <c r="O227" s="90"/>
      <c r="P227" s="90"/>
      <c r="Q227" s="90"/>
      <c r="R227" s="90"/>
    </row>
    <row r="228" spans="3:18" x14ac:dyDescent="0.15">
      <c r="C228" s="86"/>
      <c r="D228" s="52"/>
      <c r="E228" s="91" t="s">
        <v>116</v>
      </c>
      <c r="F228" s="75">
        <f>SUM(H228:L228)</f>
        <v>3489000</v>
      </c>
      <c r="G228" s="92"/>
      <c r="H228" s="90">
        <v>2926000</v>
      </c>
      <c r="I228" s="93"/>
      <c r="J228" s="90">
        <v>408000</v>
      </c>
      <c r="K228" s="93"/>
      <c r="L228" s="90">
        <v>155000</v>
      </c>
      <c r="M228" s="93"/>
      <c r="N228" s="90">
        <v>2159000</v>
      </c>
      <c r="O228" s="93"/>
      <c r="P228" s="90">
        <v>1330000</v>
      </c>
      <c r="Q228" s="93"/>
      <c r="R228" s="90">
        <v>0</v>
      </c>
    </row>
    <row r="229" spans="3:18" x14ac:dyDescent="0.15">
      <c r="C229" s="52" t="s">
        <v>117</v>
      </c>
      <c r="D229" s="52"/>
      <c r="E229" s="91"/>
      <c r="F229" s="75">
        <f>SUM(H229:L229)</f>
        <v>1643000</v>
      </c>
      <c r="G229" s="92"/>
      <c r="H229" s="90">
        <v>1491000</v>
      </c>
      <c r="I229" s="93"/>
      <c r="J229" s="90">
        <v>75000</v>
      </c>
      <c r="K229" s="93"/>
      <c r="L229" s="90">
        <v>77000</v>
      </c>
      <c r="M229" s="93"/>
      <c r="N229" s="90">
        <v>1115000</v>
      </c>
      <c r="O229" s="93"/>
      <c r="P229" s="90">
        <v>528000</v>
      </c>
      <c r="Q229" s="93"/>
      <c r="R229" s="90">
        <v>0</v>
      </c>
    </row>
    <row r="230" spans="3:18" x14ac:dyDescent="0.15">
      <c r="C230" s="52" t="s">
        <v>118</v>
      </c>
      <c r="D230" s="52"/>
      <c r="E230" s="91"/>
      <c r="G230" s="69"/>
      <c r="H230" s="90"/>
      <c r="I230" s="90"/>
      <c r="J230" s="90"/>
      <c r="K230" s="90"/>
      <c r="L230" s="90"/>
      <c r="M230" s="90"/>
      <c r="N230" s="90"/>
      <c r="O230" s="90"/>
      <c r="P230" s="90"/>
      <c r="Q230" s="90"/>
      <c r="R230" s="90"/>
    </row>
    <row r="231" spans="3:18" x14ac:dyDescent="0.15">
      <c r="C231" s="86"/>
      <c r="D231" s="52"/>
      <c r="E231" s="91" t="s">
        <v>97</v>
      </c>
      <c r="F231" s="75">
        <f t="shared" ref="F231:F246" si="7">SUM(H231:L231)</f>
        <v>413000</v>
      </c>
      <c r="G231" s="92"/>
      <c r="H231" s="90">
        <v>411000</v>
      </c>
      <c r="I231" s="93"/>
      <c r="J231" s="90">
        <v>1000</v>
      </c>
      <c r="K231" s="93"/>
      <c r="L231" s="90">
        <v>1000</v>
      </c>
      <c r="M231" s="93"/>
      <c r="N231" s="90">
        <v>279000</v>
      </c>
      <c r="O231" s="93"/>
      <c r="P231" s="90">
        <v>134000</v>
      </c>
      <c r="Q231" s="93"/>
      <c r="R231" s="90">
        <v>0</v>
      </c>
    </row>
    <row r="232" spans="3:18" x14ac:dyDescent="0.15">
      <c r="C232" s="52" t="s">
        <v>119</v>
      </c>
      <c r="D232" s="52"/>
      <c r="E232" s="91"/>
      <c r="F232" s="75">
        <f t="shared" si="7"/>
        <v>320000</v>
      </c>
      <c r="G232" s="92"/>
      <c r="H232" s="90">
        <v>0</v>
      </c>
      <c r="I232" s="93"/>
      <c r="J232" s="90">
        <v>202000</v>
      </c>
      <c r="K232" s="93"/>
      <c r="L232" s="90">
        <v>118000</v>
      </c>
      <c r="M232" s="93"/>
      <c r="N232" s="90">
        <v>212000</v>
      </c>
      <c r="O232" s="93"/>
      <c r="P232" s="90">
        <v>108000</v>
      </c>
      <c r="Q232" s="93"/>
      <c r="R232" s="90">
        <v>0</v>
      </c>
    </row>
    <row r="233" spans="3:18" x14ac:dyDescent="0.15">
      <c r="C233" s="52" t="s">
        <v>120</v>
      </c>
      <c r="D233" s="52"/>
      <c r="E233" s="91"/>
      <c r="F233" s="75">
        <f t="shared" si="7"/>
        <v>1211000</v>
      </c>
      <c r="G233" s="92"/>
      <c r="H233" s="90">
        <v>937000</v>
      </c>
      <c r="I233" s="93"/>
      <c r="J233" s="90">
        <v>98000</v>
      </c>
      <c r="K233" s="93"/>
      <c r="L233" s="90">
        <v>176000</v>
      </c>
      <c r="M233" s="93"/>
      <c r="N233" s="90">
        <v>731000</v>
      </c>
      <c r="O233" s="93"/>
      <c r="P233" s="90">
        <v>491000</v>
      </c>
      <c r="Q233" s="93"/>
      <c r="R233" s="90">
        <v>11000</v>
      </c>
    </row>
    <row r="234" spans="3:18" x14ac:dyDescent="0.15">
      <c r="C234" s="52" t="s">
        <v>121</v>
      </c>
      <c r="D234" s="52"/>
      <c r="E234" s="91"/>
      <c r="F234" s="75">
        <f t="shared" si="7"/>
        <v>3700000</v>
      </c>
      <c r="G234" s="92"/>
      <c r="H234" s="90">
        <v>3162000</v>
      </c>
      <c r="I234" s="93"/>
      <c r="J234" s="90">
        <v>453000</v>
      </c>
      <c r="K234" s="93"/>
      <c r="L234" s="90">
        <v>85000</v>
      </c>
      <c r="M234" s="93"/>
      <c r="N234" s="90">
        <v>2459000</v>
      </c>
      <c r="O234" s="93"/>
      <c r="P234" s="90">
        <v>1241000</v>
      </c>
      <c r="Q234" s="93"/>
      <c r="R234" s="90">
        <v>0</v>
      </c>
    </row>
    <row r="235" spans="3:18" x14ac:dyDescent="0.15">
      <c r="C235" s="52" t="s">
        <v>122</v>
      </c>
      <c r="D235" s="52"/>
      <c r="E235" s="91"/>
      <c r="F235" s="75">
        <f t="shared" si="7"/>
        <v>18916000</v>
      </c>
      <c r="G235" s="92"/>
      <c r="H235" s="90">
        <v>15371000</v>
      </c>
      <c r="I235" s="93"/>
      <c r="J235" s="90">
        <v>2872000</v>
      </c>
      <c r="K235" s="93"/>
      <c r="L235" s="90">
        <v>673000</v>
      </c>
      <c r="M235" s="93"/>
      <c r="N235" s="90">
        <v>12342000</v>
      </c>
      <c r="O235" s="93"/>
      <c r="P235" s="90">
        <v>6574000</v>
      </c>
      <c r="Q235" s="93"/>
      <c r="R235" s="90">
        <v>0</v>
      </c>
    </row>
    <row r="236" spans="3:18" x14ac:dyDescent="0.15">
      <c r="C236" s="52" t="s">
        <v>123</v>
      </c>
      <c r="D236" s="52"/>
      <c r="E236" s="91"/>
      <c r="F236" s="75">
        <f t="shared" si="7"/>
        <v>8000</v>
      </c>
      <c r="G236" s="92"/>
      <c r="H236" s="90">
        <v>5000</v>
      </c>
      <c r="I236" s="93"/>
      <c r="J236" s="90">
        <v>0</v>
      </c>
      <c r="K236" s="93"/>
      <c r="L236" s="90">
        <v>3000</v>
      </c>
      <c r="M236" s="93"/>
      <c r="N236" s="90">
        <v>0</v>
      </c>
      <c r="O236" s="93"/>
      <c r="P236" s="90">
        <v>8000</v>
      </c>
      <c r="Q236" s="93"/>
      <c r="R236" s="90">
        <v>0</v>
      </c>
    </row>
    <row r="237" spans="3:18" x14ac:dyDescent="0.15">
      <c r="C237" s="52" t="s">
        <v>125</v>
      </c>
      <c r="D237" s="52"/>
      <c r="E237" s="91"/>
      <c r="F237" s="75">
        <f t="shared" si="7"/>
        <v>21262000</v>
      </c>
      <c r="G237" s="92"/>
      <c r="H237" s="90">
        <v>16394000</v>
      </c>
      <c r="I237" s="93"/>
      <c r="J237" s="90">
        <v>1963000</v>
      </c>
      <c r="K237" s="93"/>
      <c r="L237" s="90">
        <v>2905000</v>
      </c>
      <c r="M237" s="93"/>
      <c r="N237" s="90">
        <v>12519000</v>
      </c>
      <c r="O237" s="93"/>
      <c r="P237" s="90">
        <v>8743000</v>
      </c>
      <c r="Q237" s="93"/>
      <c r="R237" s="90">
        <v>0</v>
      </c>
    </row>
    <row r="238" spans="3:18" x14ac:dyDescent="0.15">
      <c r="C238" s="52" t="s">
        <v>126</v>
      </c>
      <c r="D238" s="52"/>
      <c r="E238" s="91"/>
      <c r="F238" s="75">
        <f t="shared" si="7"/>
        <v>5954000</v>
      </c>
      <c r="G238" s="92"/>
      <c r="H238" s="90">
        <v>4666000</v>
      </c>
      <c r="I238" s="93"/>
      <c r="J238" s="90">
        <v>427000</v>
      </c>
      <c r="K238" s="93"/>
      <c r="L238" s="90">
        <v>861000</v>
      </c>
      <c r="M238" s="93"/>
      <c r="N238" s="90">
        <v>3837000</v>
      </c>
      <c r="O238" s="93"/>
      <c r="P238" s="90">
        <v>2117000</v>
      </c>
      <c r="Q238" s="93"/>
      <c r="R238" s="90">
        <v>0</v>
      </c>
    </row>
    <row r="239" spans="3:18" x14ac:dyDescent="0.15">
      <c r="C239" s="52" t="s">
        <v>127</v>
      </c>
      <c r="D239" s="52"/>
      <c r="E239" s="91"/>
      <c r="F239" s="75">
        <f t="shared" si="7"/>
        <v>3978000</v>
      </c>
      <c r="G239" s="92"/>
      <c r="H239" s="90">
        <v>3415000</v>
      </c>
      <c r="I239" s="93"/>
      <c r="J239" s="90">
        <v>244000</v>
      </c>
      <c r="K239" s="93"/>
      <c r="L239" s="90">
        <v>319000</v>
      </c>
      <c r="M239" s="93"/>
      <c r="N239" s="90">
        <v>2663000</v>
      </c>
      <c r="O239" s="93"/>
      <c r="P239" s="90">
        <v>1315000</v>
      </c>
      <c r="Q239" s="93"/>
      <c r="R239" s="90">
        <v>0</v>
      </c>
    </row>
    <row r="240" spans="3:18" x14ac:dyDescent="0.15">
      <c r="C240" s="52" t="s">
        <v>128</v>
      </c>
      <c r="D240" s="52"/>
      <c r="E240" s="91"/>
      <c r="F240" s="75">
        <f t="shared" si="7"/>
        <v>5862000</v>
      </c>
      <c r="G240" s="92"/>
      <c r="H240" s="90">
        <v>5029000</v>
      </c>
      <c r="I240" s="93"/>
      <c r="J240" s="90">
        <v>233000</v>
      </c>
      <c r="K240" s="93"/>
      <c r="L240" s="90">
        <v>600000</v>
      </c>
      <c r="M240" s="93"/>
      <c r="N240" s="90">
        <v>3886000</v>
      </c>
      <c r="O240" s="93"/>
      <c r="P240" s="90">
        <v>1976000</v>
      </c>
      <c r="Q240" s="93"/>
      <c r="R240" s="90">
        <v>0</v>
      </c>
    </row>
    <row r="241" spans="3:18" ht="12" customHeight="1" x14ac:dyDescent="0.15">
      <c r="C241" s="52" t="s">
        <v>129</v>
      </c>
      <c r="D241" s="52"/>
      <c r="E241" s="91"/>
      <c r="F241" s="75">
        <f>SUM(H241:L241)</f>
        <v>1707000</v>
      </c>
      <c r="G241" s="92"/>
      <c r="H241" s="90">
        <v>1404000</v>
      </c>
      <c r="I241" s="93"/>
      <c r="J241" s="90">
        <v>235000</v>
      </c>
      <c r="K241" s="93"/>
      <c r="L241" s="90">
        <v>68000</v>
      </c>
      <c r="M241" s="93"/>
      <c r="N241" s="90">
        <v>1097000</v>
      </c>
      <c r="O241" s="93"/>
      <c r="P241" s="90">
        <v>610000</v>
      </c>
      <c r="Q241" s="93"/>
      <c r="R241" s="90">
        <v>0</v>
      </c>
    </row>
    <row r="242" spans="3:18" x14ac:dyDescent="0.15">
      <c r="C242" s="52" t="s">
        <v>130</v>
      </c>
      <c r="D242" s="52"/>
      <c r="E242" s="91"/>
      <c r="F242" s="75">
        <f>SUM(H242:L242)</f>
        <v>1685000</v>
      </c>
      <c r="G242" s="92"/>
      <c r="H242" s="90">
        <v>644000</v>
      </c>
      <c r="I242" s="93"/>
      <c r="J242" s="90">
        <v>10000</v>
      </c>
      <c r="K242" s="93"/>
      <c r="L242" s="90">
        <v>1031000</v>
      </c>
      <c r="M242" s="93"/>
      <c r="N242" s="90">
        <v>963000</v>
      </c>
      <c r="O242" s="93"/>
      <c r="P242" s="90">
        <v>722000</v>
      </c>
      <c r="Q242" s="93"/>
      <c r="R242" s="90">
        <v>0</v>
      </c>
    </row>
    <row r="243" spans="3:18" x14ac:dyDescent="0.15">
      <c r="C243" s="52" t="s">
        <v>131</v>
      </c>
      <c r="D243" s="52"/>
      <c r="E243" s="91"/>
      <c r="F243" s="75">
        <f t="shared" si="7"/>
        <v>20612000</v>
      </c>
      <c r="G243" s="92"/>
      <c r="H243" s="90">
        <v>15787000</v>
      </c>
      <c r="I243" s="93"/>
      <c r="J243" s="90">
        <v>3375000</v>
      </c>
      <c r="K243" s="93"/>
      <c r="L243" s="90">
        <v>1450000</v>
      </c>
      <c r="M243" s="93"/>
      <c r="N243" s="90">
        <v>13005000</v>
      </c>
      <c r="O243" s="93"/>
      <c r="P243" s="90">
        <v>8066000</v>
      </c>
      <c r="Q243" s="93"/>
      <c r="R243" s="90">
        <v>459000</v>
      </c>
    </row>
    <row r="244" spans="3:18" x14ac:dyDescent="0.15">
      <c r="C244" s="52" t="s">
        <v>132</v>
      </c>
      <c r="D244" s="52"/>
      <c r="E244" s="91"/>
      <c r="F244" s="75">
        <f t="shared" si="7"/>
        <v>11511000</v>
      </c>
      <c r="G244" s="92"/>
      <c r="H244" s="90">
        <v>9828000</v>
      </c>
      <c r="I244" s="93"/>
      <c r="J244" s="90">
        <v>808000</v>
      </c>
      <c r="K244" s="93"/>
      <c r="L244" s="90">
        <v>875000</v>
      </c>
      <c r="M244" s="93"/>
      <c r="N244" s="90">
        <v>7463000</v>
      </c>
      <c r="O244" s="93"/>
      <c r="P244" s="90">
        <v>4048000</v>
      </c>
      <c r="Q244" s="93"/>
      <c r="R244" s="90">
        <v>0</v>
      </c>
    </row>
    <row r="245" spans="3:18" x14ac:dyDescent="0.15">
      <c r="C245" s="52" t="s">
        <v>133</v>
      </c>
      <c r="D245" s="52"/>
      <c r="E245" s="91"/>
      <c r="F245" s="75">
        <f t="shared" si="7"/>
        <v>11272000</v>
      </c>
      <c r="G245" s="92"/>
      <c r="H245" s="90">
        <v>10098000</v>
      </c>
      <c r="I245" s="93"/>
      <c r="J245" s="90">
        <v>1039000</v>
      </c>
      <c r="K245" s="93"/>
      <c r="L245" s="90">
        <v>135000</v>
      </c>
      <c r="M245" s="93"/>
      <c r="N245" s="90">
        <v>7406000</v>
      </c>
      <c r="O245" s="93"/>
      <c r="P245" s="90">
        <v>3872000</v>
      </c>
      <c r="Q245" s="93"/>
      <c r="R245" s="90">
        <v>6000</v>
      </c>
    </row>
    <row r="246" spans="3:18" x14ac:dyDescent="0.15">
      <c r="C246" s="52" t="s">
        <v>134</v>
      </c>
      <c r="D246" s="52"/>
      <c r="E246" s="91"/>
      <c r="F246" s="75">
        <f t="shared" si="7"/>
        <v>3369000</v>
      </c>
      <c r="G246" s="92"/>
      <c r="H246" s="90">
        <v>2997000</v>
      </c>
      <c r="I246" s="93"/>
      <c r="J246" s="90">
        <v>228000</v>
      </c>
      <c r="K246" s="93"/>
      <c r="L246" s="90">
        <v>144000</v>
      </c>
      <c r="M246" s="93"/>
      <c r="N246" s="90">
        <v>2190000</v>
      </c>
      <c r="O246" s="93"/>
      <c r="P246" s="90">
        <v>1179000</v>
      </c>
      <c r="Q246" s="93"/>
      <c r="R246" s="90">
        <v>0</v>
      </c>
    </row>
    <row r="247" spans="3:18" x14ac:dyDescent="0.15">
      <c r="C247" s="52" t="s">
        <v>135</v>
      </c>
      <c r="D247" s="52"/>
      <c r="E247" s="91"/>
      <c r="G247" s="69"/>
      <c r="H247" s="90"/>
      <c r="I247" s="90"/>
      <c r="J247" s="90"/>
      <c r="K247" s="90"/>
      <c r="L247" s="90"/>
      <c r="M247" s="90"/>
      <c r="N247" s="90"/>
      <c r="O247" s="90"/>
      <c r="P247" s="90"/>
      <c r="Q247" s="90"/>
      <c r="R247" s="90"/>
    </row>
    <row r="248" spans="3:18" x14ac:dyDescent="0.15">
      <c r="C248" s="86"/>
      <c r="D248" s="52"/>
      <c r="E248" s="91" t="s">
        <v>97</v>
      </c>
      <c r="F248" s="75">
        <f t="shared" ref="F248:F262" si="8">SUM(H248:L248)</f>
        <v>465000</v>
      </c>
      <c r="G248" s="92"/>
      <c r="H248" s="90">
        <v>432000</v>
      </c>
      <c r="I248" s="93"/>
      <c r="J248" s="90">
        <v>18000</v>
      </c>
      <c r="K248" s="93"/>
      <c r="L248" s="90">
        <v>15000</v>
      </c>
      <c r="M248" s="93"/>
      <c r="N248" s="90">
        <v>289000</v>
      </c>
      <c r="O248" s="93"/>
      <c r="P248" s="90">
        <v>176000</v>
      </c>
      <c r="Q248" s="93"/>
      <c r="R248" s="90">
        <v>0</v>
      </c>
    </row>
    <row r="249" spans="3:18" x14ac:dyDescent="0.15">
      <c r="C249" s="52" t="s">
        <v>136</v>
      </c>
      <c r="D249" s="52"/>
      <c r="E249" s="91"/>
      <c r="F249" s="75">
        <f t="shared" si="8"/>
        <v>302000</v>
      </c>
      <c r="G249" s="92"/>
      <c r="H249" s="90">
        <v>222000</v>
      </c>
      <c r="I249" s="93"/>
      <c r="J249" s="90">
        <v>0</v>
      </c>
      <c r="K249" s="93"/>
      <c r="L249" s="90">
        <v>80000</v>
      </c>
      <c r="M249" s="93"/>
      <c r="N249" s="90">
        <v>120000</v>
      </c>
      <c r="O249" s="93"/>
      <c r="P249" s="90">
        <v>182000</v>
      </c>
      <c r="Q249" s="93"/>
      <c r="R249" s="90">
        <v>0</v>
      </c>
    </row>
    <row r="250" spans="3:18" x14ac:dyDescent="0.15">
      <c r="C250" s="52" t="s">
        <v>137</v>
      </c>
      <c r="D250" s="52"/>
      <c r="E250" s="91"/>
      <c r="F250" s="75">
        <f t="shared" si="8"/>
        <v>1590000</v>
      </c>
      <c r="G250" s="92"/>
      <c r="H250" s="90">
        <v>1422000</v>
      </c>
      <c r="I250" s="93"/>
      <c r="J250" s="90">
        <v>103000</v>
      </c>
      <c r="K250" s="93"/>
      <c r="L250" s="90">
        <v>65000</v>
      </c>
      <c r="M250" s="93"/>
      <c r="N250" s="90">
        <v>1091000</v>
      </c>
      <c r="O250" s="93"/>
      <c r="P250" s="90">
        <v>499000</v>
      </c>
      <c r="Q250" s="93"/>
      <c r="R250" s="90">
        <v>0</v>
      </c>
    </row>
    <row r="251" spans="3:18" x14ac:dyDescent="0.15">
      <c r="C251" s="52" t="s">
        <v>138</v>
      </c>
      <c r="D251" s="52"/>
      <c r="E251" s="91"/>
      <c r="F251" s="75">
        <f t="shared" si="8"/>
        <v>2358000</v>
      </c>
      <c r="G251" s="92"/>
      <c r="H251" s="90">
        <v>2158000</v>
      </c>
      <c r="I251" s="93"/>
      <c r="J251" s="90">
        <v>14000</v>
      </c>
      <c r="K251" s="93"/>
      <c r="L251" s="90">
        <v>186000</v>
      </c>
      <c r="M251" s="93"/>
      <c r="N251" s="90">
        <v>1629000</v>
      </c>
      <c r="O251" s="93"/>
      <c r="P251" s="90">
        <v>729000</v>
      </c>
      <c r="Q251" s="93"/>
      <c r="R251" s="90">
        <v>0</v>
      </c>
    </row>
    <row r="252" spans="3:18" x14ac:dyDescent="0.15">
      <c r="C252" s="52" t="s">
        <v>139</v>
      </c>
      <c r="D252" s="52"/>
      <c r="E252" s="91"/>
      <c r="F252" s="75">
        <f t="shared" si="8"/>
        <v>79000</v>
      </c>
      <c r="G252" s="92"/>
      <c r="H252" s="90">
        <v>63000</v>
      </c>
      <c r="I252" s="93"/>
      <c r="J252" s="90">
        <v>-1000</v>
      </c>
      <c r="K252" s="93"/>
      <c r="L252" s="90">
        <v>17000</v>
      </c>
      <c r="M252" s="93"/>
      <c r="N252" s="90">
        <v>45000</v>
      </c>
      <c r="O252" s="93"/>
      <c r="P252" s="90">
        <v>34000</v>
      </c>
      <c r="Q252" s="93"/>
      <c r="R252" s="90">
        <v>0</v>
      </c>
    </row>
    <row r="253" spans="3:18" x14ac:dyDescent="0.15">
      <c r="C253" s="52" t="s">
        <v>140</v>
      </c>
      <c r="D253" s="52"/>
      <c r="E253" s="91"/>
      <c r="F253" s="75">
        <f t="shared" si="8"/>
        <v>1143000</v>
      </c>
      <c r="G253" s="92"/>
      <c r="H253" s="90">
        <v>171000</v>
      </c>
      <c r="I253" s="93"/>
      <c r="J253" s="90">
        <v>412000</v>
      </c>
      <c r="K253" s="93"/>
      <c r="L253" s="90">
        <v>560000</v>
      </c>
      <c r="M253" s="93"/>
      <c r="N253" s="90">
        <v>503000</v>
      </c>
      <c r="O253" s="93"/>
      <c r="P253" s="90">
        <v>640000</v>
      </c>
      <c r="Q253" s="93"/>
      <c r="R253" s="90">
        <v>0</v>
      </c>
    </row>
    <row r="254" spans="3:18" x14ac:dyDescent="0.15">
      <c r="C254" s="52" t="s">
        <v>141</v>
      </c>
      <c r="D254" s="52"/>
      <c r="E254" s="91"/>
      <c r="F254" s="75">
        <f t="shared" si="8"/>
        <v>10316000</v>
      </c>
      <c r="G254" s="92"/>
      <c r="H254" s="90">
        <v>7723000</v>
      </c>
      <c r="I254" s="93"/>
      <c r="J254" s="90">
        <v>2243000</v>
      </c>
      <c r="K254" s="93"/>
      <c r="L254" s="90">
        <v>350000</v>
      </c>
      <c r="M254" s="93"/>
      <c r="N254" s="90">
        <v>6430000</v>
      </c>
      <c r="O254" s="93"/>
      <c r="P254" s="90">
        <v>3886000</v>
      </c>
      <c r="Q254" s="93"/>
      <c r="R254" s="90">
        <v>0</v>
      </c>
    </row>
    <row r="255" spans="3:18" x14ac:dyDescent="0.15">
      <c r="C255" s="52" t="s">
        <v>142</v>
      </c>
      <c r="D255" s="52"/>
      <c r="E255" s="91"/>
      <c r="F255" s="75">
        <f t="shared" si="8"/>
        <v>2986000</v>
      </c>
      <c r="G255" s="92"/>
      <c r="H255" s="90">
        <v>2385000</v>
      </c>
      <c r="I255" s="93"/>
      <c r="J255" s="90">
        <v>261000</v>
      </c>
      <c r="K255" s="93"/>
      <c r="L255" s="90">
        <v>340000</v>
      </c>
      <c r="M255" s="93"/>
      <c r="N255" s="90">
        <v>1963000</v>
      </c>
      <c r="O255" s="93"/>
      <c r="P255" s="90">
        <v>1023000</v>
      </c>
      <c r="Q255" s="93"/>
      <c r="R255" s="90">
        <v>0</v>
      </c>
    </row>
    <row r="256" spans="3:18" x14ac:dyDescent="0.15">
      <c r="C256" s="52" t="s">
        <v>143</v>
      </c>
      <c r="D256" s="52"/>
      <c r="E256" s="91"/>
      <c r="F256" s="75">
        <f t="shared" si="8"/>
        <v>3674000</v>
      </c>
      <c r="G256" s="92"/>
      <c r="H256" s="90">
        <v>3018000</v>
      </c>
      <c r="I256" s="93"/>
      <c r="J256" s="90">
        <v>497000</v>
      </c>
      <c r="K256" s="93"/>
      <c r="L256" s="90">
        <v>159000</v>
      </c>
      <c r="M256" s="93"/>
      <c r="N256" s="90">
        <v>2375000</v>
      </c>
      <c r="O256" s="93"/>
      <c r="P256" s="90">
        <v>1299000</v>
      </c>
      <c r="Q256" s="93"/>
      <c r="R256" s="90">
        <v>0</v>
      </c>
    </row>
    <row r="257" spans="2:18" x14ac:dyDescent="0.15">
      <c r="C257" s="52" t="s">
        <v>144</v>
      </c>
      <c r="D257" s="52"/>
      <c r="E257" s="91"/>
      <c r="F257" s="75">
        <f t="shared" si="8"/>
        <v>8679000</v>
      </c>
      <c r="G257" s="92"/>
      <c r="H257" s="90">
        <v>7364000</v>
      </c>
      <c r="I257" s="93"/>
      <c r="J257" s="90">
        <v>1105000</v>
      </c>
      <c r="K257" s="93"/>
      <c r="L257" s="90">
        <v>210000</v>
      </c>
      <c r="M257" s="93"/>
      <c r="N257" s="90">
        <v>5656000</v>
      </c>
      <c r="O257" s="93"/>
      <c r="P257" s="90">
        <v>3023000</v>
      </c>
      <c r="Q257" s="93"/>
      <c r="R257" s="90">
        <v>0</v>
      </c>
    </row>
    <row r="258" spans="2:18" x14ac:dyDescent="0.15">
      <c r="C258" s="52" t="s">
        <v>145</v>
      </c>
      <c r="D258" s="52"/>
      <c r="E258" s="91"/>
      <c r="F258" s="75">
        <f t="shared" si="8"/>
        <v>89000</v>
      </c>
      <c r="G258" s="92"/>
      <c r="H258" s="90">
        <v>1000</v>
      </c>
      <c r="I258" s="93"/>
      <c r="J258" s="90">
        <v>0</v>
      </c>
      <c r="K258" s="93"/>
      <c r="L258" s="90">
        <v>88000</v>
      </c>
      <c r="M258" s="93"/>
      <c r="N258" s="90">
        <v>52000</v>
      </c>
      <c r="O258" s="93"/>
      <c r="P258" s="90">
        <v>37000</v>
      </c>
      <c r="Q258" s="93"/>
      <c r="R258" s="90">
        <v>0</v>
      </c>
    </row>
    <row r="259" spans="2:18" x14ac:dyDescent="0.15">
      <c r="C259" s="52" t="s">
        <v>146</v>
      </c>
      <c r="D259" s="52"/>
      <c r="E259" s="91"/>
      <c r="F259" s="75">
        <f t="shared" si="8"/>
        <v>3596000</v>
      </c>
      <c r="G259" s="92"/>
      <c r="H259" s="90">
        <v>2877000</v>
      </c>
      <c r="I259" s="93"/>
      <c r="J259" s="90">
        <v>693000</v>
      </c>
      <c r="K259" s="93"/>
      <c r="L259" s="90">
        <v>26000</v>
      </c>
      <c r="M259" s="93"/>
      <c r="N259" s="90">
        <v>2378000</v>
      </c>
      <c r="O259" s="93"/>
      <c r="P259" s="90">
        <v>1218000</v>
      </c>
      <c r="Q259" s="93"/>
      <c r="R259" s="90">
        <v>0</v>
      </c>
    </row>
    <row r="260" spans="2:18" x14ac:dyDescent="0.15">
      <c r="C260" s="52" t="s">
        <v>147</v>
      </c>
      <c r="D260" s="52"/>
      <c r="E260" s="91"/>
      <c r="G260" s="92"/>
      <c r="H260" s="90"/>
      <c r="I260" s="93"/>
      <c r="J260" s="90"/>
      <c r="K260" s="93"/>
      <c r="L260" s="90"/>
      <c r="M260" s="93"/>
      <c r="N260" s="90"/>
      <c r="O260" s="93"/>
      <c r="P260" s="90"/>
      <c r="Q260" s="93"/>
      <c r="R260" s="90"/>
    </row>
    <row r="261" spans="2:18" x14ac:dyDescent="0.15">
      <c r="E261" s="52" t="s">
        <v>148</v>
      </c>
      <c r="F261" s="75">
        <f t="shared" si="8"/>
        <v>7070000</v>
      </c>
      <c r="G261" s="92"/>
      <c r="H261" s="90">
        <v>4913000</v>
      </c>
      <c r="I261" s="93"/>
      <c r="J261" s="90">
        <v>818000</v>
      </c>
      <c r="K261" s="93"/>
      <c r="L261" s="90">
        <v>1339000</v>
      </c>
      <c r="M261" s="93"/>
      <c r="N261" s="90">
        <v>3956000</v>
      </c>
      <c r="O261" s="93"/>
      <c r="P261" s="90">
        <v>3114000</v>
      </c>
      <c r="Q261" s="93"/>
      <c r="R261" s="90">
        <v>0</v>
      </c>
    </row>
    <row r="262" spans="2:18" x14ac:dyDescent="0.15">
      <c r="C262" s="52" t="s">
        <v>149</v>
      </c>
      <c r="D262" s="52"/>
      <c r="E262" s="91"/>
      <c r="F262" s="75">
        <f t="shared" si="8"/>
        <v>2000</v>
      </c>
      <c r="G262" s="92"/>
      <c r="H262" s="90">
        <v>1000</v>
      </c>
      <c r="I262" s="93"/>
      <c r="J262" s="90">
        <v>0</v>
      </c>
      <c r="K262" s="93"/>
      <c r="L262" s="90">
        <v>1000</v>
      </c>
      <c r="M262" s="93"/>
      <c r="N262" s="90">
        <v>0</v>
      </c>
      <c r="O262" s="93"/>
      <c r="P262" s="90">
        <v>2000</v>
      </c>
      <c r="Q262" s="93"/>
      <c r="R262" s="90">
        <v>0</v>
      </c>
    </row>
    <row r="263" spans="2:18" x14ac:dyDescent="0.15">
      <c r="C263" s="52" t="s">
        <v>150</v>
      </c>
      <c r="D263" s="52"/>
      <c r="E263" s="91"/>
      <c r="F263" s="94">
        <f>SUM(H263:L263)</f>
        <v>1999000</v>
      </c>
      <c r="G263" s="69"/>
      <c r="H263" s="95">
        <v>1852000</v>
      </c>
      <c r="I263" s="90"/>
      <c r="J263" s="95">
        <v>64000</v>
      </c>
      <c r="K263" s="90"/>
      <c r="L263" s="95">
        <v>83000</v>
      </c>
      <c r="M263" s="90"/>
      <c r="N263" s="95">
        <v>1283000</v>
      </c>
      <c r="O263" s="90"/>
      <c r="P263" s="95">
        <v>716000</v>
      </c>
      <c r="Q263" s="90"/>
      <c r="R263" s="95">
        <v>0</v>
      </c>
    </row>
    <row r="264" spans="2:18" x14ac:dyDescent="0.15">
      <c r="E264" s="52" t="s">
        <v>22</v>
      </c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</row>
    <row r="265" spans="2:18" x14ac:dyDescent="0.15">
      <c r="E265" s="52" t="s">
        <v>3</v>
      </c>
      <c r="F265" s="94">
        <f>SUM(H265:L265)</f>
        <v>304420000</v>
      </c>
      <c r="G265" s="69"/>
      <c r="H265" s="94">
        <f>SUM(H190:H264)</f>
        <v>248189000</v>
      </c>
      <c r="I265" s="75"/>
      <c r="J265" s="94">
        <f>SUM(J190:J264)</f>
        <v>31801000</v>
      </c>
      <c r="K265" s="75"/>
      <c r="L265" s="94">
        <f>SUM(L190:L264)</f>
        <v>24430000</v>
      </c>
      <c r="M265" s="75"/>
      <c r="N265" s="94">
        <f>SUM(N190:N264)</f>
        <v>194574000</v>
      </c>
      <c r="O265" s="75"/>
      <c r="P265" s="94">
        <f>SUM(P190:P264)</f>
        <v>110703000</v>
      </c>
      <c r="Q265" s="75"/>
      <c r="R265" s="94">
        <f>SUM(R190:R264)</f>
        <v>857000</v>
      </c>
    </row>
    <row r="266" spans="2:18" x14ac:dyDescent="0.15"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</row>
    <row r="267" spans="2:18" x14ac:dyDescent="0.15">
      <c r="B267" s="53" t="s">
        <v>24</v>
      </c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</row>
    <row r="268" spans="2:18" x14ac:dyDescent="0.15">
      <c r="C268" s="52" t="s">
        <v>79</v>
      </c>
      <c r="D268" s="52"/>
      <c r="E268" s="91"/>
      <c r="F268" s="75">
        <f t="shared" ref="F268:F314" si="9">SUM(H268:L268)</f>
        <v>41000</v>
      </c>
      <c r="G268" s="92"/>
      <c r="H268" s="90">
        <v>0</v>
      </c>
      <c r="I268" s="93"/>
      <c r="J268" s="90">
        <v>35000</v>
      </c>
      <c r="K268" s="93"/>
      <c r="L268" s="90">
        <v>6000</v>
      </c>
      <c r="M268" s="93"/>
      <c r="N268" s="90">
        <v>0</v>
      </c>
      <c r="O268" s="93"/>
      <c r="P268" s="90">
        <v>41000</v>
      </c>
      <c r="Q268" s="93"/>
      <c r="R268" s="90">
        <v>0</v>
      </c>
    </row>
    <row r="269" spans="2:18" x14ac:dyDescent="0.15">
      <c r="C269" s="52" t="s">
        <v>82</v>
      </c>
      <c r="D269" s="52"/>
      <c r="E269" s="91"/>
      <c r="F269" s="75">
        <f t="shared" si="9"/>
        <v>312000</v>
      </c>
      <c r="G269" s="92"/>
      <c r="H269" s="90">
        <v>7000</v>
      </c>
      <c r="I269" s="93"/>
      <c r="J269" s="90">
        <v>61000</v>
      </c>
      <c r="K269" s="93"/>
      <c r="L269" s="90">
        <v>244000</v>
      </c>
      <c r="M269" s="93"/>
      <c r="N269" s="90">
        <v>133000</v>
      </c>
      <c r="O269" s="93"/>
      <c r="P269" s="90">
        <v>179000</v>
      </c>
      <c r="Q269" s="93"/>
      <c r="R269" s="90">
        <v>0</v>
      </c>
    </row>
    <row r="270" spans="2:18" x14ac:dyDescent="0.15">
      <c r="C270" s="52" t="s">
        <v>84</v>
      </c>
      <c r="D270" s="52"/>
      <c r="E270" s="91"/>
      <c r="F270" s="75">
        <f t="shared" si="9"/>
        <v>10000</v>
      </c>
      <c r="G270" s="92"/>
      <c r="H270" s="90">
        <v>0</v>
      </c>
      <c r="I270" s="93"/>
      <c r="J270" s="90">
        <v>8000</v>
      </c>
      <c r="K270" s="93"/>
      <c r="L270" s="90">
        <v>2000</v>
      </c>
      <c r="M270" s="93"/>
      <c r="N270" s="90">
        <v>3000</v>
      </c>
      <c r="O270" s="93"/>
      <c r="P270" s="90">
        <v>7000</v>
      </c>
      <c r="Q270" s="93"/>
      <c r="R270" s="90">
        <v>0</v>
      </c>
    </row>
    <row r="271" spans="2:18" x14ac:dyDescent="0.15">
      <c r="C271" s="52" t="s">
        <v>85</v>
      </c>
      <c r="D271" s="52"/>
      <c r="E271" s="91"/>
      <c r="F271" s="75">
        <f t="shared" si="9"/>
        <v>25000</v>
      </c>
      <c r="G271" s="92"/>
      <c r="H271" s="90">
        <v>-2000</v>
      </c>
      <c r="I271" s="93"/>
      <c r="J271" s="90">
        <v>14000</v>
      </c>
      <c r="K271" s="93"/>
      <c r="L271" s="90">
        <v>13000</v>
      </c>
      <c r="M271" s="93"/>
      <c r="N271" s="90">
        <v>0</v>
      </c>
      <c r="O271" s="93"/>
      <c r="P271" s="90">
        <v>25000</v>
      </c>
      <c r="Q271" s="93"/>
      <c r="R271" s="90">
        <v>0</v>
      </c>
    </row>
    <row r="272" spans="2:18" x14ac:dyDescent="0.15">
      <c r="C272" s="52" t="s">
        <v>83</v>
      </c>
      <c r="D272" s="52"/>
      <c r="E272" s="91"/>
      <c r="F272" s="75">
        <f t="shared" si="9"/>
        <v>852000</v>
      </c>
      <c r="G272" s="92"/>
      <c r="H272" s="90">
        <v>0</v>
      </c>
      <c r="I272" s="93"/>
      <c r="J272" s="90">
        <v>0</v>
      </c>
      <c r="K272" s="93"/>
      <c r="L272" s="90">
        <v>852000</v>
      </c>
      <c r="M272" s="93"/>
      <c r="N272" s="90">
        <v>622000</v>
      </c>
      <c r="O272" s="93"/>
      <c r="P272" s="90">
        <v>230000</v>
      </c>
      <c r="Q272" s="93"/>
      <c r="R272" s="90">
        <v>0</v>
      </c>
    </row>
    <row r="273" spans="3:18" x14ac:dyDescent="0.15">
      <c r="C273" s="52" t="s">
        <v>86</v>
      </c>
      <c r="D273" s="52"/>
      <c r="E273" s="91"/>
      <c r="F273" s="75">
        <f t="shared" si="9"/>
        <v>3689000</v>
      </c>
      <c r="G273" s="92"/>
      <c r="H273" s="90">
        <v>9000</v>
      </c>
      <c r="I273" s="93"/>
      <c r="J273" s="90">
        <v>30000</v>
      </c>
      <c r="K273" s="93"/>
      <c r="L273" s="90">
        <v>3650000</v>
      </c>
      <c r="M273" s="93"/>
      <c r="N273" s="90">
        <v>2403000</v>
      </c>
      <c r="O273" s="93"/>
      <c r="P273" s="90">
        <v>1286000</v>
      </c>
      <c r="Q273" s="93"/>
      <c r="R273" s="90">
        <v>0</v>
      </c>
    </row>
    <row r="274" spans="3:18" x14ac:dyDescent="0.15">
      <c r="C274" s="52" t="s">
        <v>87</v>
      </c>
      <c r="D274" s="52"/>
      <c r="E274" s="91"/>
      <c r="F274" s="75">
        <f t="shared" si="9"/>
        <v>546000</v>
      </c>
      <c r="G274" s="92"/>
      <c r="H274" s="90">
        <v>2000</v>
      </c>
      <c r="I274" s="93"/>
      <c r="J274" s="90">
        <v>5000</v>
      </c>
      <c r="K274" s="93"/>
      <c r="L274" s="90">
        <v>539000</v>
      </c>
      <c r="M274" s="93"/>
      <c r="N274" s="90">
        <v>194000</v>
      </c>
      <c r="O274" s="93"/>
      <c r="P274" s="90">
        <v>352000</v>
      </c>
      <c r="Q274" s="93"/>
      <c r="R274" s="90">
        <v>0</v>
      </c>
    </row>
    <row r="275" spans="3:18" x14ac:dyDescent="0.15">
      <c r="C275" s="52" t="s">
        <v>92</v>
      </c>
      <c r="D275" s="52"/>
      <c r="E275" s="91"/>
      <c r="F275" s="75">
        <f t="shared" si="9"/>
        <v>1359000</v>
      </c>
      <c r="G275" s="92"/>
      <c r="H275" s="90">
        <v>118000</v>
      </c>
      <c r="I275" s="93"/>
      <c r="J275" s="90">
        <v>14000</v>
      </c>
      <c r="K275" s="93"/>
      <c r="L275" s="90">
        <v>1227000</v>
      </c>
      <c r="M275" s="93"/>
      <c r="N275" s="90">
        <v>400000</v>
      </c>
      <c r="O275" s="93"/>
      <c r="P275" s="90">
        <v>959000</v>
      </c>
      <c r="Q275" s="93"/>
      <c r="R275" s="90">
        <v>0</v>
      </c>
    </row>
    <row r="276" spans="3:18" x14ac:dyDescent="0.15">
      <c r="C276" s="52" t="s">
        <v>93</v>
      </c>
      <c r="D276" s="52"/>
      <c r="E276" s="91"/>
      <c r="F276" s="75">
        <f t="shared" si="9"/>
        <v>4000</v>
      </c>
      <c r="G276" s="92"/>
      <c r="H276" s="90">
        <v>3000</v>
      </c>
      <c r="I276" s="93"/>
      <c r="J276" s="90">
        <v>0</v>
      </c>
      <c r="K276" s="93"/>
      <c r="L276" s="90">
        <v>1000</v>
      </c>
      <c r="M276" s="93"/>
      <c r="N276" s="90">
        <v>3000</v>
      </c>
      <c r="O276" s="93"/>
      <c r="P276" s="90">
        <v>1000</v>
      </c>
      <c r="Q276" s="93"/>
      <c r="R276" s="90">
        <v>0</v>
      </c>
    </row>
    <row r="277" spans="3:18" x14ac:dyDescent="0.15">
      <c r="C277" s="52" t="s">
        <v>95</v>
      </c>
      <c r="D277" s="52"/>
      <c r="E277" s="91"/>
      <c r="F277" s="75">
        <f t="shared" si="9"/>
        <v>14000</v>
      </c>
      <c r="G277" s="92"/>
      <c r="H277" s="90">
        <v>-1000</v>
      </c>
      <c r="I277" s="93"/>
      <c r="J277" s="90">
        <v>13000</v>
      </c>
      <c r="K277" s="93"/>
      <c r="L277" s="90">
        <v>2000</v>
      </c>
      <c r="M277" s="93"/>
      <c r="N277" s="90">
        <v>2000</v>
      </c>
      <c r="O277" s="93"/>
      <c r="P277" s="90">
        <v>12000</v>
      </c>
      <c r="Q277" s="93"/>
      <c r="R277" s="90">
        <v>0</v>
      </c>
    </row>
    <row r="278" spans="3:18" x14ac:dyDescent="0.15">
      <c r="C278" s="52" t="s">
        <v>98</v>
      </c>
      <c r="D278" s="52"/>
      <c r="E278" s="91"/>
      <c r="F278" s="75">
        <f t="shared" si="9"/>
        <v>14000</v>
      </c>
      <c r="G278" s="69"/>
      <c r="H278" s="86">
        <v>5000</v>
      </c>
      <c r="I278" s="90"/>
      <c r="J278" s="90">
        <v>9000</v>
      </c>
      <c r="K278" s="90"/>
      <c r="L278" s="90">
        <v>0</v>
      </c>
      <c r="M278" s="90"/>
      <c r="N278" s="90">
        <v>1000</v>
      </c>
      <c r="O278" s="90"/>
      <c r="P278" s="90">
        <v>13000</v>
      </c>
      <c r="Q278" s="90"/>
      <c r="R278" s="90">
        <v>0</v>
      </c>
    </row>
    <row r="279" spans="3:18" x14ac:dyDescent="0.15">
      <c r="C279" s="52" t="s">
        <v>100</v>
      </c>
      <c r="D279" s="52"/>
      <c r="E279" s="91"/>
      <c r="F279" s="75">
        <f t="shared" si="9"/>
        <v>17000</v>
      </c>
      <c r="G279" s="92"/>
      <c r="H279" s="90">
        <v>0</v>
      </c>
      <c r="I279" s="93"/>
      <c r="J279" s="90">
        <v>0</v>
      </c>
      <c r="K279" s="93"/>
      <c r="L279" s="90">
        <v>17000</v>
      </c>
      <c r="M279" s="93"/>
      <c r="N279" s="90">
        <v>11000</v>
      </c>
      <c r="O279" s="93"/>
      <c r="P279" s="90">
        <v>6000</v>
      </c>
      <c r="Q279" s="93"/>
      <c r="R279" s="90">
        <v>0</v>
      </c>
    </row>
    <row r="280" spans="3:18" x14ac:dyDescent="0.15">
      <c r="C280" s="52" t="s">
        <v>101</v>
      </c>
      <c r="D280" s="52"/>
      <c r="E280" s="91"/>
      <c r="F280" s="75">
        <f t="shared" si="9"/>
        <v>5139000</v>
      </c>
      <c r="G280" s="92"/>
      <c r="H280" s="90">
        <v>58000</v>
      </c>
      <c r="I280" s="93"/>
      <c r="J280" s="90">
        <v>71000</v>
      </c>
      <c r="K280" s="93"/>
      <c r="L280" s="90">
        <v>5010000</v>
      </c>
      <c r="M280" s="93"/>
      <c r="N280" s="90">
        <v>2524000</v>
      </c>
      <c r="O280" s="93"/>
      <c r="P280" s="90">
        <v>2615000</v>
      </c>
      <c r="Q280" s="93"/>
      <c r="R280" s="90">
        <v>0</v>
      </c>
    </row>
    <row r="281" spans="3:18" x14ac:dyDescent="0.15">
      <c r="C281" s="52" t="s">
        <v>151</v>
      </c>
      <c r="D281" s="52"/>
      <c r="E281" s="91"/>
      <c r="F281" s="75">
        <f t="shared" si="9"/>
        <v>32000</v>
      </c>
      <c r="G281" s="92"/>
      <c r="H281" s="90">
        <v>0</v>
      </c>
      <c r="I281" s="93"/>
      <c r="J281" s="90">
        <v>0</v>
      </c>
      <c r="K281" s="93"/>
      <c r="L281" s="90">
        <v>32000</v>
      </c>
      <c r="M281" s="93"/>
      <c r="N281" s="90">
        <v>15000</v>
      </c>
      <c r="O281" s="93"/>
      <c r="P281" s="90">
        <v>17000</v>
      </c>
      <c r="Q281" s="93"/>
      <c r="R281" s="90">
        <v>0</v>
      </c>
    </row>
    <row r="282" spans="3:18" x14ac:dyDescent="0.15">
      <c r="C282" s="52" t="s">
        <v>152</v>
      </c>
      <c r="D282" s="52"/>
      <c r="E282" s="91"/>
      <c r="F282" s="75">
        <f t="shared" si="9"/>
        <v>205000</v>
      </c>
      <c r="G282" s="92"/>
      <c r="H282" s="90">
        <v>0</v>
      </c>
      <c r="I282" s="93"/>
      <c r="J282" s="90">
        <v>5000</v>
      </c>
      <c r="K282" s="93"/>
      <c r="L282" s="90">
        <v>200000</v>
      </c>
      <c r="M282" s="93"/>
      <c r="N282" s="90">
        <v>158000</v>
      </c>
      <c r="O282" s="93"/>
      <c r="P282" s="90">
        <v>47000</v>
      </c>
      <c r="Q282" s="93"/>
      <c r="R282" s="90">
        <v>0</v>
      </c>
    </row>
    <row r="283" spans="3:18" x14ac:dyDescent="0.15">
      <c r="C283" s="52" t="s">
        <v>105</v>
      </c>
      <c r="D283" s="52"/>
      <c r="E283" s="91"/>
      <c r="F283" s="75">
        <f t="shared" si="9"/>
        <v>872000</v>
      </c>
      <c r="G283" s="92"/>
      <c r="H283" s="90">
        <v>18000</v>
      </c>
      <c r="I283" s="93"/>
      <c r="J283" s="90">
        <v>150000</v>
      </c>
      <c r="K283" s="93"/>
      <c r="L283" s="90">
        <v>704000</v>
      </c>
      <c r="M283" s="93"/>
      <c r="N283" s="90">
        <v>346000</v>
      </c>
      <c r="O283" s="93"/>
      <c r="P283" s="90">
        <v>526000</v>
      </c>
      <c r="Q283" s="93"/>
      <c r="R283" s="90">
        <v>0</v>
      </c>
    </row>
    <row r="284" spans="3:18" x14ac:dyDescent="0.15">
      <c r="C284" s="52" t="s">
        <v>106</v>
      </c>
      <c r="D284" s="52"/>
      <c r="E284" s="91"/>
      <c r="F284" s="75">
        <f t="shared" si="9"/>
        <v>165000</v>
      </c>
      <c r="G284" s="92"/>
      <c r="H284" s="90">
        <v>29000</v>
      </c>
      <c r="I284" s="93"/>
      <c r="J284" s="90">
        <v>132000</v>
      </c>
      <c r="K284" s="93"/>
      <c r="L284" s="90">
        <v>4000</v>
      </c>
      <c r="M284" s="93"/>
      <c r="N284" s="90">
        <v>58000</v>
      </c>
      <c r="O284" s="93"/>
      <c r="P284" s="90">
        <v>107000</v>
      </c>
      <c r="Q284" s="93"/>
      <c r="R284" s="90">
        <v>0</v>
      </c>
    </row>
    <row r="285" spans="3:18" x14ac:dyDescent="0.15">
      <c r="C285" s="52" t="s">
        <v>107</v>
      </c>
      <c r="D285" s="52"/>
      <c r="E285" s="91"/>
      <c r="F285" s="75">
        <f t="shared" si="9"/>
        <v>3000</v>
      </c>
      <c r="G285" s="92"/>
      <c r="H285" s="90">
        <v>0</v>
      </c>
      <c r="I285" s="93"/>
      <c r="J285" s="90">
        <v>3000</v>
      </c>
      <c r="K285" s="93"/>
      <c r="L285" s="90">
        <v>0</v>
      </c>
      <c r="M285" s="93"/>
      <c r="N285" s="90">
        <v>0</v>
      </c>
      <c r="O285" s="93"/>
      <c r="P285" s="90">
        <v>3000</v>
      </c>
      <c r="Q285" s="93"/>
      <c r="R285" s="90">
        <v>0</v>
      </c>
    </row>
    <row r="286" spans="3:18" x14ac:dyDescent="0.15">
      <c r="C286" s="52" t="s">
        <v>108</v>
      </c>
      <c r="D286" s="52"/>
      <c r="E286" s="91"/>
      <c r="F286" s="75">
        <f t="shared" si="9"/>
        <v>36000</v>
      </c>
      <c r="G286" s="92"/>
      <c r="H286" s="90">
        <v>3000</v>
      </c>
      <c r="I286" s="93"/>
      <c r="J286" s="90">
        <v>33000</v>
      </c>
      <c r="K286" s="93"/>
      <c r="L286" s="90">
        <v>0</v>
      </c>
      <c r="M286" s="93"/>
      <c r="N286" s="90">
        <v>0</v>
      </c>
      <c r="O286" s="93"/>
      <c r="P286" s="90">
        <v>36000</v>
      </c>
      <c r="Q286" s="93"/>
      <c r="R286" s="90">
        <v>0</v>
      </c>
    </row>
    <row r="287" spans="3:18" x14ac:dyDescent="0.15">
      <c r="C287" s="52" t="s">
        <v>109</v>
      </c>
      <c r="D287" s="52"/>
      <c r="E287" s="91"/>
      <c r="F287" s="75">
        <f t="shared" si="9"/>
        <v>705000</v>
      </c>
      <c r="G287" s="92"/>
      <c r="H287" s="90">
        <v>74000</v>
      </c>
      <c r="I287" s="93"/>
      <c r="J287" s="90">
        <v>115000</v>
      </c>
      <c r="K287" s="93"/>
      <c r="L287" s="90">
        <v>516000</v>
      </c>
      <c r="M287" s="93"/>
      <c r="N287" s="90">
        <v>420000</v>
      </c>
      <c r="O287" s="93"/>
      <c r="P287" s="90">
        <v>285000</v>
      </c>
      <c r="Q287" s="93"/>
      <c r="R287" s="90">
        <v>0</v>
      </c>
    </row>
    <row r="288" spans="3:18" x14ac:dyDescent="0.15">
      <c r="C288" s="52" t="s">
        <v>110</v>
      </c>
      <c r="D288" s="52"/>
      <c r="E288" s="91"/>
      <c r="F288" s="75">
        <f t="shared" si="9"/>
        <v>110000</v>
      </c>
      <c r="G288" s="92"/>
      <c r="H288" s="90">
        <v>4000</v>
      </c>
      <c r="I288" s="93"/>
      <c r="J288" s="90">
        <v>38000</v>
      </c>
      <c r="K288" s="93"/>
      <c r="L288" s="90">
        <v>68000</v>
      </c>
      <c r="M288" s="93"/>
      <c r="N288" s="90">
        <v>61000</v>
      </c>
      <c r="O288" s="93"/>
      <c r="P288" s="90">
        <v>49000</v>
      </c>
      <c r="Q288" s="93"/>
      <c r="R288" s="90">
        <v>0</v>
      </c>
    </row>
    <row r="289" spans="3:18" x14ac:dyDescent="0.15">
      <c r="C289" s="52" t="s">
        <v>112</v>
      </c>
      <c r="D289" s="52"/>
      <c r="E289" s="91"/>
      <c r="F289" s="75">
        <f t="shared" si="9"/>
        <v>34000</v>
      </c>
      <c r="G289" s="92"/>
      <c r="H289" s="90">
        <v>1000</v>
      </c>
      <c r="I289" s="93"/>
      <c r="J289" s="90">
        <v>5000</v>
      </c>
      <c r="K289" s="93"/>
      <c r="L289" s="90">
        <v>28000</v>
      </c>
      <c r="M289" s="93"/>
      <c r="N289" s="90">
        <v>16000</v>
      </c>
      <c r="O289" s="93"/>
      <c r="P289" s="90">
        <v>18000</v>
      </c>
      <c r="Q289" s="93"/>
      <c r="R289" s="90">
        <v>0</v>
      </c>
    </row>
    <row r="290" spans="3:18" x14ac:dyDescent="0.15">
      <c r="C290" s="52" t="s">
        <v>154</v>
      </c>
      <c r="D290" s="52"/>
      <c r="E290" s="91"/>
      <c r="F290" s="75">
        <f t="shared" si="9"/>
        <v>2909000</v>
      </c>
      <c r="G290" s="92"/>
      <c r="H290" s="90">
        <v>0</v>
      </c>
      <c r="I290" s="93"/>
      <c r="J290" s="90">
        <v>350000</v>
      </c>
      <c r="K290" s="93"/>
      <c r="L290" s="90">
        <v>2559000</v>
      </c>
      <c r="M290" s="93"/>
      <c r="N290" s="90">
        <v>1241000</v>
      </c>
      <c r="O290" s="93"/>
      <c r="P290" s="90">
        <v>1668000</v>
      </c>
      <c r="Q290" s="93"/>
      <c r="R290" s="90">
        <v>0</v>
      </c>
    </row>
    <row r="291" spans="3:18" x14ac:dyDescent="0.15">
      <c r="C291" s="52" t="s">
        <v>155</v>
      </c>
      <c r="D291" s="52"/>
      <c r="E291" s="91"/>
      <c r="F291" s="75">
        <f t="shared" si="9"/>
        <v>2829000</v>
      </c>
      <c r="G291" s="92"/>
      <c r="H291" s="90">
        <v>39000</v>
      </c>
      <c r="I291" s="93"/>
      <c r="J291" s="90">
        <v>68000</v>
      </c>
      <c r="K291" s="93"/>
      <c r="L291" s="90">
        <v>2722000</v>
      </c>
      <c r="M291" s="93"/>
      <c r="N291" s="90">
        <v>1390000</v>
      </c>
      <c r="O291" s="93"/>
      <c r="P291" s="90">
        <v>1439000</v>
      </c>
      <c r="Q291" s="93"/>
      <c r="R291" s="90">
        <v>0</v>
      </c>
    </row>
    <row r="292" spans="3:18" x14ac:dyDescent="0.15">
      <c r="C292" s="52" t="s">
        <v>156</v>
      </c>
      <c r="D292" s="52"/>
      <c r="E292" s="91"/>
      <c r="F292" s="75">
        <f t="shared" si="9"/>
        <v>-1000</v>
      </c>
      <c r="G292" s="92"/>
      <c r="H292" s="90">
        <v>0</v>
      </c>
      <c r="I292" s="93"/>
      <c r="J292" s="90">
        <v>-1000</v>
      </c>
      <c r="K292" s="93"/>
      <c r="L292" s="90">
        <v>0</v>
      </c>
      <c r="M292" s="93"/>
      <c r="N292" s="90">
        <v>0</v>
      </c>
      <c r="O292" s="93"/>
      <c r="P292" s="90">
        <v>-1000</v>
      </c>
      <c r="Q292" s="93"/>
      <c r="R292" s="90">
        <v>0</v>
      </c>
    </row>
    <row r="293" spans="3:18" x14ac:dyDescent="0.15">
      <c r="C293" s="52" t="s">
        <v>117</v>
      </c>
      <c r="D293" s="52"/>
      <c r="E293" s="91"/>
      <c r="F293" s="75">
        <f t="shared" si="9"/>
        <v>66000</v>
      </c>
      <c r="G293" s="92"/>
      <c r="H293" s="90">
        <v>0</v>
      </c>
      <c r="I293" s="93"/>
      <c r="J293" s="90">
        <v>10000</v>
      </c>
      <c r="K293" s="93"/>
      <c r="L293" s="90">
        <v>56000</v>
      </c>
      <c r="M293" s="93"/>
      <c r="N293" s="90">
        <v>4000</v>
      </c>
      <c r="O293" s="93"/>
      <c r="P293" s="90">
        <v>62000</v>
      </c>
      <c r="Q293" s="93"/>
      <c r="R293" s="90">
        <v>0</v>
      </c>
    </row>
    <row r="294" spans="3:18" x14ac:dyDescent="0.15">
      <c r="C294" s="52" t="s">
        <v>158</v>
      </c>
      <c r="D294" s="52"/>
      <c r="E294" s="91"/>
      <c r="F294" s="75">
        <f t="shared" si="9"/>
        <v>-8000</v>
      </c>
      <c r="G294" s="92"/>
      <c r="H294" s="90">
        <v>0</v>
      </c>
      <c r="I294" s="93"/>
      <c r="J294" s="90">
        <v>0</v>
      </c>
      <c r="K294" s="93"/>
      <c r="L294" s="90">
        <v>-8000</v>
      </c>
      <c r="M294" s="93"/>
      <c r="N294" s="90">
        <v>0</v>
      </c>
      <c r="O294" s="93"/>
      <c r="P294" s="90">
        <v>-8000</v>
      </c>
      <c r="Q294" s="93"/>
      <c r="R294" s="90">
        <v>0</v>
      </c>
    </row>
    <row r="295" spans="3:18" x14ac:dyDescent="0.15">
      <c r="C295" s="52" t="s">
        <v>159</v>
      </c>
      <c r="D295" s="52"/>
      <c r="E295" s="91"/>
      <c r="F295" s="75">
        <f t="shared" si="9"/>
        <v>454000</v>
      </c>
      <c r="G295" s="92"/>
      <c r="H295" s="90">
        <v>11000</v>
      </c>
      <c r="I295" s="93"/>
      <c r="J295" s="90">
        <v>35000</v>
      </c>
      <c r="K295" s="93"/>
      <c r="L295" s="90">
        <v>408000</v>
      </c>
      <c r="M295" s="93"/>
      <c r="N295" s="90">
        <v>228000</v>
      </c>
      <c r="O295" s="93"/>
      <c r="P295" s="90">
        <v>226000</v>
      </c>
      <c r="Q295" s="93"/>
      <c r="R295" s="90">
        <v>0</v>
      </c>
    </row>
    <row r="296" spans="3:18" x14ac:dyDescent="0.15">
      <c r="C296" s="52" t="s">
        <v>122</v>
      </c>
      <c r="D296" s="52"/>
      <c r="E296" s="91"/>
      <c r="F296" s="75">
        <f t="shared" si="9"/>
        <v>53000</v>
      </c>
      <c r="G296" s="92"/>
      <c r="H296" s="90">
        <v>-1000</v>
      </c>
      <c r="I296" s="93"/>
      <c r="J296" s="90">
        <v>26000</v>
      </c>
      <c r="K296" s="93"/>
      <c r="L296" s="90">
        <v>28000</v>
      </c>
      <c r="M296" s="93"/>
      <c r="N296" s="90">
        <v>37000</v>
      </c>
      <c r="O296" s="93"/>
      <c r="P296" s="90">
        <v>16000</v>
      </c>
      <c r="Q296" s="93"/>
      <c r="R296" s="90">
        <v>0</v>
      </c>
    </row>
    <row r="297" spans="3:18" x14ac:dyDescent="0.15">
      <c r="C297" s="52" t="s">
        <v>125</v>
      </c>
      <c r="D297" s="52"/>
      <c r="E297" s="91"/>
      <c r="F297" s="75">
        <f t="shared" si="9"/>
        <v>33367000</v>
      </c>
      <c r="G297" s="92"/>
      <c r="H297" s="90">
        <v>-97000</v>
      </c>
      <c r="I297" s="93"/>
      <c r="J297" s="90">
        <v>399000</v>
      </c>
      <c r="K297" s="93"/>
      <c r="L297" s="90">
        <v>33065000</v>
      </c>
      <c r="M297" s="93"/>
      <c r="N297" s="90">
        <v>15332000</v>
      </c>
      <c r="O297" s="93"/>
      <c r="P297" s="90">
        <v>18035000</v>
      </c>
      <c r="Q297" s="93"/>
      <c r="R297" s="90">
        <v>0</v>
      </c>
    </row>
    <row r="298" spans="3:18" x14ac:dyDescent="0.15">
      <c r="C298" s="52" t="s">
        <v>160</v>
      </c>
      <c r="D298" s="52"/>
      <c r="E298" s="91"/>
      <c r="F298" s="75">
        <f t="shared" si="9"/>
        <v>244000</v>
      </c>
      <c r="G298" s="92"/>
      <c r="H298" s="90">
        <v>3000</v>
      </c>
      <c r="I298" s="93"/>
      <c r="J298" s="90">
        <v>60000</v>
      </c>
      <c r="K298" s="93"/>
      <c r="L298" s="90">
        <v>181000</v>
      </c>
      <c r="M298" s="93"/>
      <c r="N298" s="90">
        <v>58000</v>
      </c>
      <c r="O298" s="93"/>
      <c r="P298" s="90">
        <v>186000</v>
      </c>
      <c r="Q298" s="93"/>
      <c r="R298" s="90">
        <v>0</v>
      </c>
    </row>
    <row r="299" spans="3:18" x14ac:dyDescent="0.15">
      <c r="C299" s="52" t="s">
        <v>127</v>
      </c>
      <c r="D299" s="52"/>
      <c r="E299" s="91"/>
      <c r="F299" s="75">
        <f t="shared" si="9"/>
        <v>43000</v>
      </c>
      <c r="G299" s="92"/>
      <c r="H299" s="90">
        <v>-1000</v>
      </c>
      <c r="I299" s="93"/>
      <c r="J299" s="90">
        <v>21000</v>
      </c>
      <c r="K299" s="93"/>
      <c r="L299" s="90">
        <v>23000</v>
      </c>
      <c r="M299" s="93"/>
      <c r="N299" s="90">
        <v>0</v>
      </c>
      <c r="O299" s="93"/>
      <c r="P299" s="90">
        <v>43000</v>
      </c>
      <c r="Q299" s="93"/>
      <c r="R299" s="90">
        <v>0</v>
      </c>
    </row>
    <row r="300" spans="3:18" x14ac:dyDescent="0.15">
      <c r="C300" s="52" t="s">
        <v>161</v>
      </c>
      <c r="D300" s="52"/>
      <c r="E300" s="91"/>
      <c r="F300" s="75">
        <f t="shared" si="9"/>
        <v>5000</v>
      </c>
      <c r="G300" s="92"/>
      <c r="H300" s="90">
        <v>0</v>
      </c>
      <c r="I300" s="93"/>
      <c r="J300" s="90">
        <v>0</v>
      </c>
      <c r="K300" s="93"/>
      <c r="L300" s="90">
        <v>5000</v>
      </c>
      <c r="M300" s="93"/>
      <c r="N300" s="90">
        <v>0</v>
      </c>
      <c r="O300" s="93"/>
      <c r="P300" s="90">
        <v>5000</v>
      </c>
      <c r="Q300" s="93"/>
      <c r="R300" s="90">
        <v>0</v>
      </c>
    </row>
    <row r="301" spans="3:18" x14ac:dyDescent="0.15">
      <c r="C301" s="52" t="s">
        <v>130</v>
      </c>
      <c r="D301" s="52"/>
      <c r="E301" s="91"/>
      <c r="F301" s="75">
        <f t="shared" si="9"/>
        <v>407000</v>
      </c>
      <c r="G301" s="92"/>
      <c r="H301" s="90">
        <v>1000</v>
      </c>
      <c r="I301" s="93"/>
      <c r="J301" s="90">
        <v>2000</v>
      </c>
      <c r="K301" s="93"/>
      <c r="L301" s="90">
        <v>404000</v>
      </c>
      <c r="M301" s="93"/>
      <c r="N301" s="90">
        <v>177000</v>
      </c>
      <c r="O301" s="93"/>
      <c r="P301" s="90">
        <v>230000</v>
      </c>
      <c r="Q301" s="93"/>
      <c r="R301" s="90">
        <v>0</v>
      </c>
    </row>
    <row r="302" spans="3:18" x14ac:dyDescent="0.15">
      <c r="C302" s="52" t="s">
        <v>131</v>
      </c>
      <c r="D302" s="52"/>
      <c r="E302" s="91"/>
      <c r="F302" s="75">
        <f t="shared" si="9"/>
        <v>19296000</v>
      </c>
      <c r="G302" s="92"/>
      <c r="H302" s="90">
        <v>135000</v>
      </c>
      <c r="I302" s="93"/>
      <c r="J302" s="90">
        <v>135000</v>
      </c>
      <c r="K302" s="93"/>
      <c r="L302" s="90">
        <v>19026000</v>
      </c>
      <c r="M302" s="93"/>
      <c r="N302" s="90">
        <v>6523000</v>
      </c>
      <c r="O302" s="93"/>
      <c r="P302" s="90">
        <v>12773000</v>
      </c>
      <c r="Q302" s="93"/>
      <c r="R302" s="90">
        <v>0</v>
      </c>
    </row>
    <row r="303" spans="3:18" x14ac:dyDescent="0.15">
      <c r="C303" s="52" t="s">
        <v>132</v>
      </c>
      <c r="D303" s="52"/>
      <c r="E303" s="91"/>
      <c r="F303" s="75">
        <f t="shared" si="9"/>
        <v>398000</v>
      </c>
      <c r="G303" s="92"/>
      <c r="H303" s="90">
        <v>0</v>
      </c>
      <c r="I303" s="93"/>
      <c r="J303" s="90">
        <v>226000</v>
      </c>
      <c r="K303" s="93"/>
      <c r="L303" s="90">
        <v>172000</v>
      </c>
      <c r="M303" s="93"/>
      <c r="N303" s="90">
        <v>132000</v>
      </c>
      <c r="O303" s="93"/>
      <c r="P303" s="90">
        <v>266000</v>
      </c>
      <c r="Q303" s="93"/>
      <c r="R303" s="90">
        <v>0</v>
      </c>
    </row>
    <row r="304" spans="3:18" x14ac:dyDescent="0.15">
      <c r="C304" s="52" t="s">
        <v>133</v>
      </c>
      <c r="D304" s="52"/>
      <c r="E304" s="91"/>
      <c r="F304" s="75">
        <f t="shared" si="9"/>
        <v>3177000</v>
      </c>
      <c r="G304" s="92"/>
      <c r="H304" s="90">
        <v>5000</v>
      </c>
      <c r="I304" s="93"/>
      <c r="J304" s="90">
        <v>122000</v>
      </c>
      <c r="K304" s="93"/>
      <c r="L304" s="90">
        <v>3050000</v>
      </c>
      <c r="M304" s="93"/>
      <c r="N304" s="90">
        <v>1666000</v>
      </c>
      <c r="O304" s="93"/>
      <c r="P304" s="90">
        <v>1511000</v>
      </c>
      <c r="Q304" s="93"/>
      <c r="R304" s="90">
        <v>0</v>
      </c>
    </row>
    <row r="305" spans="2:18" x14ac:dyDescent="0.15">
      <c r="C305" s="52" t="s">
        <v>134</v>
      </c>
      <c r="D305" s="52"/>
      <c r="E305" s="91"/>
      <c r="F305" s="75">
        <f t="shared" si="9"/>
        <v>66000</v>
      </c>
      <c r="G305" s="92"/>
      <c r="H305" s="90">
        <v>4000</v>
      </c>
      <c r="I305" s="93"/>
      <c r="J305" s="90">
        <v>13000</v>
      </c>
      <c r="K305" s="93"/>
      <c r="L305" s="90">
        <v>49000</v>
      </c>
      <c r="M305" s="93"/>
      <c r="N305" s="90">
        <v>27000</v>
      </c>
      <c r="O305" s="93"/>
      <c r="P305" s="90">
        <v>39000</v>
      </c>
      <c r="Q305" s="93"/>
      <c r="R305" s="90">
        <v>0</v>
      </c>
    </row>
    <row r="306" spans="2:18" x14ac:dyDescent="0.15">
      <c r="C306" s="52" t="s">
        <v>137</v>
      </c>
      <c r="D306" s="52"/>
      <c r="E306" s="91"/>
      <c r="F306" s="75">
        <f t="shared" si="9"/>
        <v>44000</v>
      </c>
      <c r="G306" s="92"/>
      <c r="H306" s="90">
        <v>0</v>
      </c>
      <c r="I306" s="93"/>
      <c r="J306" s="90">
        <v>14000</v>
      </c>
      <c r="K306" s="93"/>
      <c r="L306" s="90">
        <v>30000</v>
      </c>
      <c r="M306" s="93"/>
      <c r="N306" s="90">
        <v>2000</v>
      </c>
      <c r="O306" s="93"/>
      <c r="P306" s="90">
        <v>42000</v>
      </c>
      <c r="Q306" s="93"/>
      <c r="R306" s="90">
        <v>0</v>
      </c>
    </row>
    <row r="307" spans="2:18" x14ac:dyDescent="0.15">
      <c r="C307" s="52" t="s">
        <v>138</v>
      </c>
      <c r="D307" s="52"/>
      <c r="E307" s="91"/>
      <c r="F307" s="75">
        <f t="shared" si="9"/>
        <v>90000</v>
      </c>
      <c r="G307" s="92"/>
      <c r="H307" s="90">
        <v>0</v>
      </c>
      <c r="I307" s="93"/>
      <c r="J307" s="90">
        <v>32000</v>
      </c>
      <c r="K307" s="93"/>
      <c r="L307" s="90">
        <v>58000</v>
      </c>
      <c r="M307" s="93"/>
      <c r="N307" s="90">
        <v>19000</v>
      </c>
      <c r="O307" s="93"/>
      <c r="P307" s="90">
        <v>71000</v>
      </c>
      <c r="Q307" s="93"/>
      <c r="R307" s="90">
        <v>0</v>
      </c>
    </row>
    <row r="308" spans="2:18" x14ac:dyDescent="0.15">
      <c r="C308" s="52" t="s">
        <v>139</v>
      </c>
      <c r="D308" s="52"/>
      <c r="E308" s="91"/>
      <c r="F308" s="75">
        <f t="shared" si="9"/>
        <v>15000</v>
      </c>
      <c r="G308" s="92"/>
      <c r="H308" s="90">
        <v>15000</v>
      </c>
      <c r="I308" s="93"/>
      <c r="J308" s="90">
        <v>0</v>
      </c>
      <c r="K308" s="93"/>
      <c r="L308" s="90">
        <v>0</v>
      </c>
      <c r="M308" s="93"/>
      <c r="N308" s="90">
        <v>12000</v>
      </c>
      <c r="O308" s="93"/>
      <c r="P308" s="90">
        <v>3000</v>
      </c>
      <c r="Q308" s="93"/>
      <c r="R308" s="90">
        <v>0</v>
      </c>
    </row>
    <row r="309" spans="2:18" x14ac:dyDescent="0.15">
      <c r="C309" s="52" t="s">
        <v>140</v>
      </c>
      <c r="D309" s="52"/>
      <c r="E309" s="91"/>
      <c r="F309" s="75">
        <f t="shared" si="9"/>
        <v>391000</v>
      </c>
      <c r="G309" s="92"/>
      <c r="H309" s="90">
        <v>46000</v>
      </c>
      <c r="I309" s="93"/>
      <c r="J309" s="90">
        <v>28000</v>
      </c>
      <c r="K309" s="93"/>
      <c r="L309" s="90">
        <v>317000</v>
      </c>
      <c r="M309" s="93"/>
      <c r="N309" s="90">
        <v>181000</v>
      </c>
      <c r="O309" s="93"/>
      <c r="P309" s="90">
        <v>210000</v>
      </c>
      <c r="Q309" s="93"/>
      <c r="R309" s="90">
        <v>0</v>
      </c>
    </row>
    <row r="310" spans="2:18" x14ac:dyDescent="0.15">
      <c r="C310" s="52" t="s">
        <v>141</v>
      </c>
      <c r="D310" s="52"/>
      <c r="E310" s="91"/>
      <c r="F310" s="75">
        <f t="shared" si="9"/>
        <v>225000</v>
      </c>
      <c r="G310" s="92"/>
      <c r="H310" s="90">
        <v>5000</v>
      </c>
      <c r="I310" s="93"/>
      <c r="J310" s="90">
        <v>40000</v>
      </c>
      <c r="K310" s="93"/>
      <c r="L310" s="90">
        <v>180000</v>
      </c>
      <c r="M310" s="93"/>
      <c r="N310" s="90">
        <v>151000</v>
      </c>
      <c r="O310" s="93"/>
      <c r="P310" s="90">
        <v>74000</v>
      </c>
      <c r="Q310" s="93"/>
      <c r="R310" s="90">
        <v>0</v>
      </c>
    </row>
    <row r="311" spans="2:18" x14ac:dyDescent="0.15">
      <c r="C311" s="52" t="s">
        <v>142</v>
      </c>
      <c r="D311" s="52"/>
      <c r="E311" s="91"/>
      <c r="F311" s="75">
        <f t="shared" si="9"/>
        <v>2000</v>
      </c>
      <c r="G311" s="92"/>
      <c r="H311" s="90">
        <v>0</v>
      </c>
      <c r="I311" s="93"/>
      <c r="J311" s="90">
        <v>2000</v>
      </c>
      <c r="K311" s="93"/>
      <c r="L311" s="90">
        <v>0</v>
      </c>
      <c r="M311" s="93"/>
      <c r="N311" s="90">
        <v>2000</v>
      </c>
      <c r="O311" s="93"/>
      <c r="P311" s="90">
        <v>0</v>
      </c>
      <c r="Q311" s="93"/>
      <c r="R311" s="90">
        <v>0</v>
      </c>
    </row>
    <row r="312" spans="2:18" x14ac:dyDescent="0.15">
      <c r="C312" s="52" t="s">
        <v>143</v>
      </c>
      <c r="D312" s="52"/>
      <c r="E312" s="91"/>
      <c r="F312" s="75">
        <f t="shared" si="9"/>
        <v>124000</v>
      </c>
      <c r="G312" s="92"/>
      <c r="H312" s="90">
        <v>2000</v>
      </c>
      <c r="I312" s="93"/>
      <c r="J312" s="90">
        <v>63000</v>
      </c>
      <c r="K312" s="93"/>
      <c r="L312" s="90">
        <v>59000</v>
      </c>
      <c r="M312" s="93"/>
      <c r="N312" s="90">
        <v>1000</v>
      </c>
      <c r="O312" s="93"/>
      <c r="P312" s="90">
        <v>123000</v>
      </c>
      <c r="Q312" s="93"/>
      <c r="R312" s="90">
        <v>0</v>
      </c>
    </row>
    <row r="313" spans="2:18" x14ac:dyDescent="0.15">
      <c r="C313" s="52" t="s">
        <v>144</v>
      </c>
      <c r="D313" s="52"/>
      <c r="E313" s="91"/>
      <c r="F313" s="75">
        <f t="shared" si="9"/>
        <v>1354000</v>
      </c>
      <c r="G313" s="92"/>
      <c r="H313" s="90">
        <v>7000</v>
      </c>
      <c r="I313" s="93"/>
      <c r="J313" s="90">
        <v>17000</v>
      </c>
      <c r="K313" s="93"/>
      <c r="L313" s="90">
        <v>1330000</v>
      </c>
      <c r="M313" s="93"/>
      <c r="N313" s="90">
        <v>934000</v>
      </c>
      <c r="O313" s="93"/>
      <c r="P313" s="90">
        <v>420000</v>
      </c>
      <c r="Q313" s="93"/>
      <c r="R313" s="90">
        <v>0</v>
      </c>
    </row>
    <row r="314" spans="2:18" x14ac:dyDescent="0.15">
      <c r="C314" s="88" t="s">
        <v>162</v>
      </c>
      <c r="D314" s="88"/>
      <c r="E314" s="91"/>
      <c r="F314" s="75">
        <f t="shared" si="9"/>
        <v>942000</v>
      </c>
      <c r="G314" s="92"/>
      <c r="H314" s="90">
        <v>97000</v>
      </c>
      <c r="I314" s="93"/>
      <c r="J314" s="90">
        <v>64000</v>
      </c>
      <c r="K314" s="93"/>
      <c r="L314" s="90">
        <v>781000</v>
      </c>
      <c r="M314" s="93"/>
      <c r="N314" s="90">
        <v>516000</v>
      </c>
      <c r="O314" s="93"/>
      <c r="P314" s="90">
        <v>426000</v>
      </c>
      <c r="Q314" s="93"/>
      <c r="R314" s="90">
        <v>0</v>
      </c>
    </row>
    <row r="315" spans="2:18" x14ac:dyDescent="0.15">
      <c r="C315" s="52" t="s">
        <v>150</v>
      </c>
      <c r="D315" s="52"/>
      <c r="E315" s="91"/>
      <c r="F315" s="94">
        <f>SUM(H315:L315)</f>
        <v>304000</v>
      </c>
      <c r="G315" s="69"/>
      <c r="H315" s="95">
        <v>12000</v>
      </c>
      <c r="I315" s="90"/>
      <c r="J315" s="95">
        <v>188000</v>
      </c>
      <c r="K315" s="90"/>
      <c r="L315" s="95">
        <v>104000</v>
      </c>
      <c r="M315" s="90"/>
      <c r="N315" s="95">
        <v>193000</v>
      </c>
      <c r="O315" s="90"/>
      <c r="P315" s="95">
        <v>111000</v>
      </c>
      <c r="Q315" s="90"/>
      <c r="R315" s="95">
        <v>0</v>
      </c>
    </row>
    <row r="316" spans="2:18" x14ac:dyDescent="0.15"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</row>
    <row r="317" spans="2:18" x14ac:dyDescent="0.15">
      <c r="E317" s="52" t="s">
        <v>3</v>
      </c>
      <c r="F317" s="94">
        <f>SUM(H317:L317)</f>
        <v>80980000</v>
      </c>
      <c r="G317" s="69"/>
      <c r="H317" s="94">
        <f>SUM(H268:H316)</f>
        <v>611000</v>
      </c>
      <c r="I317" s="75"/>
      <c r="J317" s="94">
        <f>SUM(J268:J316)</f>
        <v>2655000</v>
      </c>
      <c r="K317" s="75"/>
      <c r="L317" s="94">
        <f>SUM(L268:L316)</f>
        <v>77714000</v>
      </c>
      <c r="M317" s="75"/>
      <c r="N317" s="94">
        <f>SUM(N268:N316)</f>
        <v>36196000</v>
      </c>
      <c r="O317" s="75"/>
      <c r="P317" s="94">
        <f>SUM(P268:P316)</f>
        <v>44784000</v>
      </c>
      <c r="Q317" s="75"/>
      <c r="R317" s="94">
        <f>SUM(R268:R316)</f>
        <v>0</v>
      </c>
    </row>
    <row r="318" spans="2:18" x14ac:dyDescent="0.15">
      <c r="B318" s="88"/>
      <c r="C318" s="88"/>
      <c r="D318" s="88"/>
      <c r="E318" s="88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</row>
    <row r="319" spans="2:18" x14ac:dyDescent="0.15">
      <c r="B319" s="53" t="s">
        <v>28</v>
      </c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</row>
    <row r="320" spans="2:18" x14ac:dyDescent="0.15">
      <c r="C320" s="53" t="s">
        <v>87</v>
      </c>
      <c r="F320" s="75">
        <f t="shared" ref="F320:F324" si="10">SUM(H320:L320)</f>
        <v>101000</v>
      </c>
      <c r="G320" s="92"/>
      <c r="H320" s="90">
        <v>0</v>
      </c>
      <c r="I320" s="93"/>
      <c r="J320" s="90">
        <v>2000</v>
      </c>
      <c r="K320" s="93"/>
      <c r="L320" s="90">
        <v>99000</v>
      </c>
      <c r="M320" s="93"/>
      <c r="N320" s="90">
        <v>23000</v>
      </c>
      <c r="O320" s="93"/>
      <c r="P320" s="90">
        <v>78000</v>
      </c>
      <c r="Q320" s="93"/>
      <c r="R320" s="90">
        <v>0</v>
      </c>
    </row>
    <row r="321" spans="1:18" x14ac:dyDescent="0.15">
      <c r="C321" s="52" t="s">
        <v>100</v>
      </c>
      <c r="D321" s="52"/>
      <c r="E321" s="91"/>
      <c r="F321" s="75">
        <f t="shared" si="10"/>
        <v>20000</v>
      </c>
      <c r="G321" s="92"/>
      <c r="H321" s="90">
        <v>0</v>
      </c>
      <c r="I321" s="93"/>
      <c r="J321" s="90">
        <v>18000</v>
      </c>
      <c r="K321" s="93"/>
      <c r="L321" s="90">
        <v>2000</v>
      </c>
      <c r="M321" s="93"/>
      <c r="N321" s="90">
        <v>3000</v>
      </c>
      <c r="O321" s="93"/>
      <c r="P321" s="90">
        <v>17000</v>
      </c>
      <c r="Q321" s="93"/>
      <c r="R321" s="90">
        <v>0</v>
      </c>
    </row>
    <row r="322" spans="1:18" x14ac:dyDescent="0.15">
      <c r="C322" s="52" t="s">
        <v>101</v>
      </c>
      <c r="D322" s="52"/>
      <c r="E322" s="91"/>
      <c r="F322" s="75">
        <f>SUM(H322:L322)</f>
        <v>607000</v>
      </c>
      <c r="G322" s="92"/>
      <c r="H322" s="90">
        <v>0</v>
      </c>
      <c r="I322" s="93"/>
      <c r="J322" s="90">
        <v>0</v>
      </c>
      <c r="K322" s="93"/>
      <c r="L322" s="90">
        <v>607000</v>
      </c>
      <c r="M322" s="93"/>
      <c r="N322" s="90">
        <v>12000</v>
      </c>
      <c r="O322" s="93"/>
      <c r="P322" s="90">
        <v>595000</v>
      </c>
      <c r="Q322" s="93"/>
      <c r="R322" s="90">
        <v>0</v>
      </c>
    </row>
    <row r="323" spans="1:18" x14ac:dyDescent="0.15">
      <c r="C323" s="52" t="s">
        <v>112</v>
      </c>
      <c r="D323" s="52"/>
      <c r="E323" s="91"/>
      <c r="F323" s="75">
        <f t="shared" si="10"/>
        <v>536000</v>
      </c>
      <c r="G323" s="92"/>
      <c r="H323" s="90">
        <v>44000</v>
      </c>
      <c r="I323" s="93"/>
      <c r="J323" s="90">
        <v>411000</v>
      </c>
      <c r="K323" s="93"/>
      <c r="L323" s="90">
        <v>81000</v>
      </c>
      <c r="M323" s="93"/>
      <c r="N323" s="90">
        <v>301000</v>
      </c>
      <c r="O323" s="93"/>
      <c r="P323" s="90">
        <v>235000</v>
      </c>
      <c r="Q323" s="93"/>
      <c r="R323" s="90">
        <v>0</v>
      </c>
    </row>
    <row r="324" spans="1:18" x14ac:dyDescent="0.15">
      <c r="C324" s="52" t="s">
        <v>159</v>
      </c>
      <c r="D324" s="52"/>
      <c r="E324" s="91"/>
      <c r="F324" s="75">
        <f t="shared" si="10"/>
        <v>112000</v>
      </c>
      <c r="G324" s="92"/>
      <c r="H324" s="90">
        <v>0</v>
      </c>
      <c r="I324" s="93"/>
      <c r="J324" s="90">
        <v>0</v>
      </c>
      <c r="K324" s="93"/>
      <c r="L324" s="90">
        <v>112000</v>
      </c>
      <c r="M324" s="93"/>
      <c r="N324" s="90">
        <v>61000</v>
      </c>
      <c r="O324" s="93"/>
      <c r="P324" s="90">
        <v>51000</v>
      </c>
      <c r="Q324" s="93"/>
      <c r="R324" s="90">
        <v>0</v>
      </c>
    </row>
    <row r="325" spans="1:18" x14ac:dyDescent="0.15">
      <c r="C325" s="52" t="s">
        <v>130</v>
      </c>
      <c r="D325" s="52"/>
      <c r="E325" s="91"/>
      <c r="F325" s="94">
        <f>SUM(H325:L325)</f>
        <v>2000</v>
      </c>
      <c r="G325" s="69"/>
      <c r="H325" s="95">
        <v>0</v>
      </c>
      <c r="I325" s="90"/>
      <c r="J325" s="95">
        <v>0</v>
      </c>
      <c r="K325" s="90"/>
      <c r="L325" s="95">
        <v>2000</v>
      </c>
      <c r="M325" s="90"/>
      <c r="N325" s="95">
        <v>0</v>
      </c>
      <c r="O325" s="90"/>
      <c r="P325" s="95">
        <v>2000</v>
      </c>
      <c r="Q325" s="90"/>
      <c r="R325" s="95">
        <v>0</v>
      </c>
    </row>
    <row r="326" spans="1:18" x14ac:dyDescent="0.15"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</row>
    <row r="327" spans="1:18" x14ac:dyDescent="0.15">
      <c r="E327" s="52" t="s">
        <v>3</v>
      </c>
      <c r="F327" s="94">
        <f>SUM(H327:L327)</f>
        <v>1378000</v>
      </c>
      <c r="G327" s="69"/>
      <c r="H327" s="94">
        <f>SUM(H320:H326)</f>
        <v>44000</v>
      </c>
      <c r="I327" s="75"/>
      <c r="J327" s="94">
        <f>SUM(J320:J326)</f>
        <v>431000</v>
      </c>
      <c r="K327" s="75"/>
      <c r="L327" s="94">
        <f>SUM(L320:L326)</f>
        <v>903000</v>
      </c>
      <c r="M327" s="75"/>
      <c r="N327" s="94">
        <f>SUM(N320:N326)</f>
        <v>400000</v>
      </c>
      <c r="O327" s="75"/>
      <c r="P327" s="94">
        <f>SUM(P320:P326)</f>
        <v>978000</v>
      </c>
      <c r="Q327" s="75"/>
      <c r="R327" s="94">
        <f>SUM(R320:R326)</f>
        <v>0</v>
      </c>
    </row>
    <row r="328" spans="1:18" x14ac:dyDescent="0.15">
      <c r="A328" s="88"/>
      <c r="B328" s="88"/>
      <c r="C328" s="88"/>
      <c r="D328" s="88"/>
      <c r="E328" s="88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</row>
    <row r="329" spans="1:18" x14ac:dyDescent="0.15">
      <c r="B329" s="53" t="s">
        <v>29</v>
      </c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</row>
    <row r="330" spans="1:18" x14ac:dyDescent="0.15">
      <c r="C330" s="52" t="s">
        <v>86</v>
      </c>
      <c r="D330" s="52"/>
      <c r="E330" s="91"/>
      <c r="F330" s="75">
        <f>SUM(H330:L330)</f>
        <v>1000</v>
      </c>
      <c r="G330" s="92"/>
      <c r="H330" s="90">
        <v>0</v>
      </c>
      <c r="I330" s="93"/>
      <c r="J330" s="90">
        <v>1000</v>
      </c>
      <c r="K330" s="93"/>
      <c r="L330" s="90">
        <v>0</v>
      </c>
      <c r="M330" s="93"/>
      <c r="N330" s="90">
        <v>55000</v>
      </c>
      <c r="O330" s="93"/>
      <c r="P330" s="90">
        <v>50000</v>
      </c>
      <c r="Q330" s="93"/>
      <c r="R330" s="90">
        <v>104000</v>
      </c>
    </row>
    <row r="331" spans="1:18" x14ac:dyDescent="0.15">
      <c r="C331" s="52" t="s">
        <v>87</v>
      </c>
      <c r="D331" s="52"/>
      <c r="E331" s="91"/>
      <c r="F331" s="75">
        <f>SUM(H331:L331)</f>
        <v>17000</v>
      </c>
      <c r="G331" s="69"/>
      <c r="H331" s="90">
        <v>0</v>
      </c>
      <c r="I331" s="90"/>
      <c r="J331" s="90">
        <v>17000</v>
      </c>
      <c r="K331" s="90"/>
      <c r="L331" s="90">
        <v>0</v>
      </c>
      <c r="M331" s="90"/>
      <c r="N331" s="90">
        <v>0</v>
      </c>
      <c r="O331" s="90"/>
      <c r="P331" s="90">
        <v>17000</v>
      </c>
      <c r="Q331" s="90"/>
      <c r="R331" s="90">
        <v>0</v>
      </c>
    </row>
    <row r="332" spans="1:18" x14ac:dyDescent="0.15">
      <c r="C332" s="52" t="s">
        <v>90</v>
      </c>
      <c r="D332" s="52"/>
      <c r="E332" s="91"/>
      <c r="G332" s="69"/>
      <c r="H332" s="90"/>
      <c r="I332" s="90"/>
      <c r="J332" s="90"/>
      <c r="K332" s="90"/>
      <c r="L332" s="90"/>
      <c r="M332" s="90"/>
      <c r="N332" s="90"/>
      <c r="O332" s="90"/>
      <c r="P332" s="90"/>
      <c r="Q332" s="90"/>
      <c r="R332" s="90"/>
    </row>
    <row r="333" spans="1:18" x14ac:dyDescent="0.15">
      <c r="C333" s="86"/>
      <c r="D333" s="86"/>
      <c r="E333" s="91" t="s">
        <v>91</v>
      </c>
      <c r="F333" s="75">
        <f t="shared" ref="F333:F344" si="11">SUM(H333:L333)</f>
        <v>335000</v>
      </c>
      <c r="G333" s="92"/>
      <c r="H333" s="90">
        <v>0</v>
      </c>
      <c r="I333" s="93"/>
      <c r="J333" s="90">
        <v>33000</v>
      </c>
      <c r="K333" s="93"/>
      <c r="L333" s="90">
        <v>302000</v>
      </c>
      <c r="M333" s="93"/>
      <c r="N333" s="90">
        <v>249000</v>
      </c>
      <c r="O333" s="93"/>
      <c r="P333" s="90">
        <v>108000</v>
      </c>
      <c r="Q333" s="93"/>
      <c r="R333" s="90">
        <v>22000</v>
      </c>
    </row>
    <row r="334" spans="1:18" x14ac:dyDescent="0.15">
      <c r="C334" s="52" t="s">
        <v>39</v>
      </c>
      <c r="D334" s="52"/>
      <c r="E334" s="91"/>
      <c r="F334" s="75">
        <f t="shared" si="11"/>
        <v>401000</v>
      </c>
      <c r="G334" s="92"/>
      <c r="H334" s="90">
        <v>0</v>
      </c>
      <c r="I334" s="93"/>
      <c r="J334" s="90">
        <v>401000</v>
      </c>
      <c r="K334" s="93"/>
      <c r="L334" s="90">
        <v>0</v>
      </c>
      <c r="M334" s="93"/>
      <c r="N334" s="90">
        <v>216000</v>
      </c>
      <c r="O334" s="93"/>
      <c r="P334" s="90">
        <v>185000</v>
      </c>
      <c r="Q334" s="93"/>
      <c r="R334" s="90">
        <v>0</v>
      </c>
    </row>
    <row r="335" spans="1:18" x14ac:dyDescent="0.15">
      <c r="C335" s="52" t="s">
        <v>99</v>
      </c>
      <c r="D335" s="52"/>
      <c r="E335" s="91"/>
      <c r="F335" s="75">
        <f t="shared" si="11"/>
        <v>125000</v>
      </c>
      <c r="G335" s="92"/>
      <c r="H335" s="90">
        <v>121000</v>
      </c>
      <c r="I335" s="93"/>
      <c r="J335" s="90">
        <v>4000</v>
      </c>
      <c r="K335" s="93"/>
      <c r="L335" s="90">
        <v>0</v>
      </c>
      <c r="M335" s="93"/>
      <c r="N335" s="90">
        <v>83000</v>
      </c>
      <c r="O335" s="93"/>
      <c r="P335" s="90">
        <v>42000</v>
      </c>
      <c r="Q335" s="93"/>
      <c r="R335" s="90">
        <v>0</v>
      </c>
    </row>
    <row r="336" spans="1:18" x14ac:dyDescent="0.15">
      <c r="C336" s="52" t="s">
        <v>165</v>
      </c>
      <c r="D336" s="52"/>
      <c r="E336" s="91"/>
      <c r="F336" s="75">
        <f>SUM(H336:L336)</f>
        <v>58000</v>
      </c>
      <c r="G336" s="92"/>
      <c r="H336" s="90">
        <v>0</v>
      </c>
      <c r="I336" s="93"/>
      <c r="J336" s="90">
        <v>58000</v>
      </c>
      <c r="K336" s="93"/>
      <c r="L336" s="90">
        <v>0</v>
      </c>
      <c r="M336" s="93"/>
      <c r="N336" s="90">
        <v>54000</v>
      </c>
      <c r="O336" s="93"/>
      <c r="P336" s="90">
        <v>119000</v>
      </c>
      <c r="Q336" s="93"/>
      <c r="R336" s="90">
        <v>115000</v>
      </c>
    </row>
    <row r="337" spans="3:18" x14ac:dyDescent="0.15">
      <c r="C337" s="52" t="s">
        <v>109</v>
      </c>
      <c r="D337" s="52"/>
      <c r="E337" s="91"/>
      <c r="F337" s="75">
        <f t="shared" si="11"/>
        <v>88000</v>
      </c>
      <c r="G337" s="92"/>
      <c r="H337" s="90">
        <v>88000</v>
      </c>
      <c r="I337" s="93"/>
      <c r="J337" s="90">
        <v>0</v>
      </c>
      <c r="K337" s="93"/>
      <c r="L337" s="90">
        <v>0</v>
      </c>
      <c r="M337" s="93"/>
      <c r="N337" s="90">
        <v>58000</v>
      </c>
      <c r="O337" s="93"/>
      <c r="P337" s="90">
        <v>30000</v>
      </c>
      <c r="Q337" s="93"/>
      <c r="R337" s="90">
        <v>0</v>
      </c>
    </row>
    <row r="338" spans="3:18" x14ac:dyDescent="0.15">
      <c r="C338" s="52" t="s">
        <v>155</v>
      </c>
      <c r="D338" s="52"/>
      <c r="E338" s="91"/>
      <c r="F338" s="75">
        <f t="shared" si="11"/>
        <v>218000</v>
      </c>
      <c r="G338" s="92"/>
      <c r="H338" s="90">
        <v>77000</v>
      </c>
      <c r="I338" s="93"/>
      <c r="J338" s="90">
        <v>57000</v>
      </c>
      <c r="K338" s="93"/>
      <c r="L338" s="90">
        <v>84000</v>
      </c>
      <c r="M338" s="93"/>
      <c r="N338" s="90">
        <v>181000</v>
      </c>
      <c r="O338" s="93"/>
      <c r="P338" s="90">
        <v>103000</v>
      </c>
      <c r="Q338" s="93"/>
      <c r="R338" s="90">
        <v>66000</v>
      </c>
    </row>
    <row r="339" spans="3:18" x14ac:dyDescent="0.15">
      <c r="C339" s="52" t="s">
        <v>120</v>
      </c>
      <c r="D339" s="52"/>
      <c r="E339" s="91"/>
      <c r="F339" s="75">
        <f t="shared" si="11"/>
        <v>10000</v>
      </c>
      <c r="G339" s="92"/>
      <c r="H339" s="90">
        <v>0</v>
      </c>
      <c r="I339" s="93"/>
      <c r="J339" s="90">
        <v>10000</v>
      </c>
      <c r="K339" s="93"/>
      <c r="L339" s="90">
        <v>0</v>
      </c>
      <c r="M339" s="93"/>
      <c r="N339" s="90">
        <v>0</v>
      </c>
      <c r="O339" s="93"/>
      <c r="P339" s="90">
        <v>10000</v>
      </c>
      <c r="Q339" s="93"/>
      <c r="R339" s="90">
        <v>0</v>
      </c>
    </row>
    <row r="340" spans="3:18" x14ac:dyDescent="0.15">
      <c r="C340" s="52" t="s">
        <v>159</v>
      </c>
      <c r="D340" s="52"/>
      <c r="E340" s="91"/>
      <c r="F340" s="75">
        <f>SUM(H340:L340)</f>
        <v>130000</v>
      </c>
      <c r="G340" s="92"/>
      <c r="H340" s="90">
        <v>130000</v>
      </c>
      <c r="I340" s="93"/>
      <c r="J340" s="90">
        <v>0</v>
      </c>
      <c r="K340" s="93"/>
      <c r="L340" s="90">
        <v>0</v>
      </c>
      <c r="M340" s="93"/>
      <c r="N340" s="90">
        <v>89000</v>
      </c>
      <c r="O340" s="93"/>
      <c r="P340" s="90">
        <v>41000</v>
      </c>
      <c r="Q340" s="93"/>
      <c r="R340" s="90">
        <v>0</v>
      </c>
    </row>
    <row r="341" spans="3:18" x14ac:dyDescent="0.15">
      <c r="C341" s="52" t="s">
        <v>166</v>
      </c>
      <c r="D341" s="52"/>
      <c r="E341" s="91"/>
      <c r="F341" s="75">
        <f t="shared" si="11"/>
        <v>388000</v>
      </c>
      <c r="G341" s="92"/>
      <c r="H341" s="90">
        <v>0</v>
      </c>
      <c r="I341" s="93"/>
      <c r="J341" s="90">
        <v>386000</v>
      </c>
      <c r="K341" s="93"/>
      <c r="L341" s="90">
        <v>2000</v>
      </c>
      <c r="M341" s="93"/>
      <c r="N341" s="90">
        <v>1764000</v>
      </c>
      <c r="O341" s="93"/>
      <c r="P341" s="90">
        <v>6232000</v>
      </c>
      <c r="Q341" s="93"/>
      <c r="R341" s="90">
        <v>7608000</v>
      </c>
    </row>
    <row r="342" spans="3:18" x14ac:dyDescent="0.15">
      <c r="C342" s="52" t="s">
        <v>130</v>
      </c>
      <c r="D342" s="52"/>
      <c r="E342" s="91"/>
      <c r="F342" s="75">
        <f t="shared" si="11"/>
        <v>36000</v>
      </c>
      <c r="G342" s="92"/>
      <c r="H342" s="90">
        <v>0</v>
      </c>
      <c r="I342" s="93"/>
      <c r="J342" s="90">
        <v>14000</v>
      </c>
      <c r="K342" s="93"/>
      <c r="L342" s="90">
        <v>22000</v>
      </c>
      <c r="M342" s="93"/>
      <c r="N342" s="90">
        <v>0</v>
      </c>
      <c r="O342" s="93"/>
      <c r="P342" s="90">
        <v>36000</v>
      </c>
      <c r="Q342" s="93"/>
      <c r="R342" s="90">
        <v>0</v>
      </c>
    </row>
    <row r="343" spans="3:18" x14ac:dyDescent="0.15">
      <c r="C343" s="52" t="s">
        <v>132</v>
      </c>
      <c r="D343" s="52"/>
      <c r="E343" s="91"/>
      <c r="F343" s="75">
        <f t="shared" si="11"/>
        <v>0</v>
      </c>
      <c r="G343" s="92"/>
      <c r="H343" s="90">
        <v>0</v>
      </c>
      <c r="I343" s="93"/>
      <c r="J343" s="90">
        <v>0</v>
      </c>
      <c r="K343" s="93"/>
      <c r="L343" s="90">
        <v>0</v>
      </c>
      <c r="M343" s="93"/>
      <c r="N343" s="90">
        <v>0</v>
      </c>
      <c r="O343" s="93"/>
      <c r="P343" s="90">
        <v>0</v>
      </c>
      <c r="Q343" s="93"/>
      <c r="R343" s="90">
        <v>0</v>
      </c>
    </row>
    <row r="344" spans="3:18" x14ac:dyDescent="0.15">
      <c r="C344" s="52" t="s">
        <v>133</v>
      </c>
      <c r="D344" s="52"/>
      <c r="E344" s="91"/>
      <c r="F344" s="75">
        <f t="shared" si="11"/>
        <v>225000</v>
      </c>
      <c r="G344" s="92"/>
      <c r="H344" s="90">
        <v>3000</v>
      </c>
      <c r="I344" s="93"/>
      <c r="J344" s="90">
        <v>222000</v>
      </c>
      <c r="K344" s="93"/>
      <c r="L344" s="90">
        <v>0</v>
      </c>
      <c r="M344" s="93"/>
      <c r="N344" s="90">
        <v>153000</v>
      </c>
      <c r="O344" s="93"/>
      <c r="P344" s="90">
        <v>72000</v>
      </c>
      <c r="Q344" s="93"/>
      <c r="R344" s="90">
        <v>0</v>
      </c>
    </row>
    <row r="345" spans="3:18" x14ac:dyDescent="0.15">
      <c r="C345" s="52" t="s">
        <v>144</v>
      </c>
      <c r="D345" s="52"/>
      <c r="E345" s="91"/>
      <c r="F345" s="75">
        <f>SUM(H345:L345)</f>
        <v>71000</v>
      </c>
      <c r="G345" s="92"/>
      <c r="H345" s="90">
        <v>71000</v>
      </c>
      <c r="I345" s="93"/>
      <c r="J345" s="90">
        <v>0</v>
      </c>
      <c r="K345" s="93"/>
      <c r="L345" s="90">
        <v>0</v>
      </c>
      <c r="M345" s="93"/>
      <c r="N345" s="90">
        <v>48000</v>
      </c>
      <c r="O345" s="93"/>
      <c r="P345" s="90">
        <v>23000</v>
      </c>
      <c r="Q345" s="93"/>
      <c r="R345" s="90">
        <v>0</v>
      </c>
    </row>
    <row r="346" spans="3:18" x14ac:dyDescent="0.15">
      <c r="C346" s="52" t="s">
        <v>149</v>
      </c>
      <c r="D346" s="52"/>
      <c r="E346" s="91"/>
      <c r="F346" s="94">
        <f>SUM(H346:L346)</f>
        <v>196000</v>
      </c>
      <c r="G346" s="69"/>
      <c r="H346" s="95">
        <v>185000</v>
      </c>
      <c r="I346" s="90"/>
      <c r="J346" s="95">
        <v>7000</v>
      </c>
      <c r="K346" s="90"/>
      <c r="L346" s="95">
        <v>4000</v>
      </c>
      <c r="M346" s="90"/>
      <c r="N346" s="95">
        <v>116000</v>
      </c>
      <c r="O346" s="90"/>
      <c r="P346" s="95">
        <v>80000</v>
      </c>
      <c r="Q346" s="90"/>
      <c r="R346" s="95">
        <v>0</v>
      </c>
    </row>
    <row r="347" spans="3:18" x14ac:dyDescent="0.15"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</row>
    <row r="348" spans="3:18" x14ac:dyDescent="0.15">
      <c r="E348" s="52" t="s">
        <v>3</v>
      </c>
      <c r="F348" s="94">
        <f>SUM(H348:L348)</f>
        <v>2299000</v>
      </c>
      <c r="G348" s="69"/>
      <c r="H348" s="94">
        <f>SUM(H330:H347)</f>
        <v>675000</v>
      </c>
      <c r="I348" s="75"/>
      <c r="J348" s="94">
        <f>SUM(J330:J347)</f>
        <v>1210000</v>
      </c>
      <c r="K348" s="75"/>
      <c r="L348" s="94">
        <f>SUM(L330:L347)</f>
        <v>414000</v>
      </c>
      <c r="M348" s="75"/>
      <c r="N348" s="94">
        <f>SUM(N330:N347)</f>
        <v>3066000</v>
      </c>
      <c r="O348" s="75"/>
      <c r="P348" s="94">
        <f>SUM(P330:P347)</f>
        <v>7148000</v>
      </c>
      <c r="Q348" s="75"/>
      <c r="R348" s="94">
        <f>SUM(R330:R347)</f>
        <v>7915000</v>
      </c>
    </row>
    <row r="349" spans="3:18" x14ac:dyDescent="0.15"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</row>
    <row r="350" spans="3:18" x14ac:dyDescent="0.15">
      <c r="E350" s="52" t="s">
        <v>167</v>
      </c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</row>
    <row r="351" spans="3:18" x14ac:dyDescent="0.15">
      <c r="E351" s="52" t="s">
        <v>168</v>
      </c>
      <c r="F351" s="94">
        <f>SUM(H351:L351)</f>
        <v>389077000</v>
      </c>
      <c r="G351" s="69"/>
      <c r="H351" s="94">
        <f>+H265+H317+H327+H348</f>
        <v>249519000</v>
      </c>
      <c r="I351" s="75"/>
      <c r="J351" s="94">
        <f>+J265+J317+J327+J348</f>
        <v>36097000</v>
      </c>
      <c r="K351" s="75"/>
      <c r="L351" s="94">
        <f>+L265+L317+L327+L348</f>
        <v>103461000</v>
      </c>
      <c r="M351" s="75"/>
      <c r="N351" s="94">
        <f>+N265+N317+N327+N348</f>
        <v>234236000</v>
      </c>
      <c r="O351" s="75"/>
      <c r="P351" s="94">
        <f>+P265+P317+P327+P348</f>
        <v>163613000</v>
      </c>
      <c r="Q351" s="75"/>
      <c r="R351" s="94">
        <f>+R265+R317+R327+R348</f>
        <v>8772000</v>
      </c>
    </row>
    <row r="352" spans="3:18" x14ac:dyDescent="0.15">
      <c r="E352" s="86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</row>
    <row r="353" spans="1:18" x14ac:dyDescent="0.15">
      <c r="A353" s="79" t="s">
        <v>169</v>
      </c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</row>
    <row r="354" spans="1:18" x14ac:dyDescent="0.15">
      <c r="A354" s="79"/>
      <c r="B354" s="79" t="s">
        <v>170</v>
      </c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</row>
    <row r="355" spans="1:18" x14ac:dyDescent="0.15"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</row>
    <row r="356" spans="1:18" x14ac:dyDescent="0.15">
      <c r="B356" s="53" t="s">
        <v>13</v>
      </c>
      <c r="F356" s="94">
        <f>SUM(H356:L356)</f>
        <v>7904000</v>
      </c>
      <c r="G356" s="69"/>
      <c r="H356" s="95">
        <v>3888000</v>
      </c>
      <c r="I356" s="90"/>
      <c r="J356" s="95">
        <v>3395000</v>
      </c>
      <c r="K356" s="90"/>
      <c r="L356" s="95">
        <v>621000</v>
      </c>
      <c r="M356" s="90"/>
      <c r="N356" s="95">
        <v>5344000</v>
      </c>
      <c r="O356" s="90"/>
      <c r="P356" s="95">
        <v>2560000</v>
      </c>
      <c r="Q356" s="90"/>
      <c r="R356" s="95">
        <v>0</v>
      </c>
    </row>
    <row r="357" spans="1:18" x14ac:dyDescent="0.15"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</row>
    <row r="358" spans="1:18" x14ac:dyDescent="0.15">
      <c r="B358" s="53" t="s">
        <v>24</v>
      </c>
      <c r="F358" s="94">
        <f>SUM(H358:L358)</f>
        <v>2339000</v>
      </c>
      <c r="G358" s="69"/>
      <c r="H358" s="95">
        <v>7000</v>
      </c>
      <c r="I358" s="90"/>
      <c r="J358" s="95">
        <v>176000</v>
      </c>
      <c r="K358" s="90"/>
      <c r="L358" s="95">
        <v>2156000</v>
      </c>
      <c r="M358" s="90"/>
      <c r="N358" s="95">
        <v>1397000</v>
      </c>
      <c r="O358" s="90"/>
      <c r="P358" s="95">
        <v>942000</v>
      </c>
      <c r="Q358" s="90"/>
      <c r="R358" s="95">
        <v>0</v>
      </c>
    </row>
    <row r="359" spans="1:18" x14ac:dyDescent="0.15">
      <c r="G359" s="69"/>
      <c r="H359" s="75"/>
      <c r="I359" s="75"/>
      <c r="J359" s="75"/>
      <c r="K359" s="75"/>
      <c r="L359" s="75"/>
      <c r="M359" s="75"/>
      <c r="N359" s="75"/>
      <c r="O359" s="75"/>
      <c r="P359" s="75"/>
      <c r="Q359" s="75"/>
      <c r="R359" s="75"/>
    </row>
    <row r="360" spans="1:18" x14ac:dyDescent="0.15">
      <c r="E360" s="52" t="s">
        <v>171</v>
      </c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</row>
    <row r="361" spans="1:18" x14ac:dyDescent="0.15">
      <c r="E361" s="52" t="s">
        <v>172</v>
      </c>
      <c r="F361" s="94">
        <f>SUM(H361:L361)</f>
        <v>10243000</v>
      </c>
      <c r="G361" s="69"/>
      <c r="H361" s="94">
        <f>+H356+H358</f>
        <v>3895000</v>
      </c>
      <c r="I361" s="75"/>
      <c r="J361" s="94">
        <f>+J356+J358</f>
        <v>3571000</v>
      </c>
      <c r="K361" s="75"/>
      <c r="L361" s="94">
        <f>+L356+L358</f>
        <v>2777000</v>
      </c>
      <c r="M361" s="75"/>
      <c r="N361" s="94">
        <f>+N356+N358</f>
        <v>6741000</v>
      </c>
      <c r="O361" s="75"/>
      <c r="P361" s="94">
        <f>+P356+P358</f>
        <v>3502000</v>
      </c>
      <c r="Q361" s="75"/>
      <c r="R361" s="94">
        <f>+R356+R358</f>
        <v>0</v>
      </c>
    </row>
    <row r="362" spans="1:18" x14ac:dyDescent="0.15">
      <c r="G362" s="69"/>
      <c r="H362" s="75"/>
      <c r="I362" s="75"/>
      <c r="J362" s="75"/>
      <c r="K362" s="75"/>
      <c r="L362" s="75"/>
      <c r="M362" s="75"/>
      <c r="N362" s="75"/>
      <c r="O362" s="75"/>
      <c r="P362" s="75"/>
      <c r="Q362" s="75"/>
      <c r="R362" s="75"/>
    </row>
    <row r="363" spans="1:18" x14ac:dyDescent="0.15">
      <c r="A363" s="79" t="s">
        <v>173</v>
      </c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</row>
    <row r="364" spans="1:18" x14ac:dyDescent="0.15"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</row>
    <row r="365" spans="1:18" x14ac:dyDescent="0.15">
      <c r="B365" s="53" t="s">
        <v>13</v>
      </c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</row>
    <row r="366" spans="1:18" x14ac:dyDescent="0.15">
      <c r="C366" s="52" t="s">
        <v>14</v>
      </c>
      <c r="D366" s="52"/>
      <c r="E366" s="91"/>
      <c r="F366" s="75">
        <f t="shared" ref="F366:F377" si="12">SUM(H366:L366)</f>
        <v>2097000</v>
      </c>
      <c r="G366" s="92"/>
      <c r="H366" s="90">
        <v>2075000</v>
      </c>
      <c r="I366" s="93"/>
      <c r="J366" s="90">
        <v>11000</v>
      </c>
      <c r="K366" s="93"/>
      <c r="L366" s="90">
        <v>11000</v>
      </c>
      <c r="M366" s="93"/>
      <c r="N366" s="90">
        <v>1386000</v>
      </c>
      <c r="O366" s="93"/>
      <c r="P366" s="90">
        <v>711000</v>
      </c>
      <c r="Q366" s="93"/>
      <c r="R366" s="90">
        <v>0</v>
      </c>
    </row>
    <row r="367" spans="1:18" x14ac:dyDescent="0.15">
      <c r="C367" s="52" t="s">
        <v>39</v>
      </c>
      <c r="D367" s="52"/>
      <c r="E367" s="91"/>
      <c r="F367" s="75">
        <f t="shared" si="12"/>
        <v>5186000</v>
      </c>
      <c r="G367" s="92"/>
      <c r="H367" s="90">
        <v>3209000</v>
      </c>
      <c r="I367" s="93"/>
      <c r="J367" s="90">
        <v>965000</v>
      </c>
      <c r="K367" s="93"/>
      <c r="L367" s="90">
        <v>1012000</v>
      </c>
      <c r="M367" s="93"/>
      <c r="N367" s="90">
        <v>3096000</v>
      </c>
      <c r="O367" s="93"/>
      <c r="P367" s="90">
        <v>2090000</v>
      </c>
      <c r="Q367" s="93"/>
      <c r="R367" s="90">
        <v>0</v>
      </c>
    </row>
    <row r="368" spans="1:18" x14ac:dyDescent="0.15">
      <c r="C368" s="52" t="s">
        <v>174</v>
      </c>
      <c r="D368" s="52"/>
      <c r="E368" s="91"/>
      <c r="F368" s="75">
        <f t="shared" si="12"/>
        <v>1581000</v>
      </c>
      <c r="G368" s="92"/>
      <c r="H368" s="90">
        <v>1580000</v>
      </c>
      <c r="I368" s="93"/>
      <c r="J368" s="90">
        <v>0</v>
      </c>
      <c r="K368" s="93"/>
      <c r="L368" s="90">
        <v>1000</v>
      </c>
      <c r="M368" s="93"/>
      <c r="N368" s="90">
        <v>1120000</v>
      </c>
      <c r="O368" s="93"/>
      <c r="P368" s="90">
        <v>461000</v>
      </c>
      <c r="Q368" s="93"/>
      <c r="R368" s="90">
        <v>0</v>
      </c>
    </row>
    <row r="369" spans="1:18" x14ac:dyDescent="0.15">
      <c r="C369" s="52" t="s">
        <v>175</v>
      </c>
      <c r="D369" s="52"/>
      <c r="E369" s="91"/>
      <c r="G369" s="92"/>
      <c r="H369" s="90"/>
      <c r="I369" s="93"/>
      <c r="J369" s="90"/>
      <c r="K369" s="93"/>
      <c r="L369" s="90"/>
      <c r="M369" s="93"/>
      <c r="N369" s="90"/>
      <c r="O369" s="93"/>
      <c r="P369" s="90"/>
      <c r="Q369" s="93"/>
      <c r="R369" s="90"/>
    </row>
    <row r="370" spans="1:18" x14ac:dyDescent="0.15">
      <c r="C370" s="91"/>
      <c r="D370" s="91"/>
      <c r="E370" s="52" t="s">
        <v>176</v>
      </c>
      <c r="F370" s="75">
        <f t="shared" si="12"/>
        <v>2639000</v>
      </c>
      <c r="G370" s="92"/>
      <c r="H370" s="90">
        <v>2435000</v>
      </c>
      <c r="I370" s="93"/>
      <c r="J370" s="90">
        <v>148000</v>
      </c>
      <c r="K370" s="93"/>
      <c r="L370" s="90">
        <v>56000</v>
      </c>
      <c r="M370" s="93"/>
      <c r="N370" s="90">
        <v>1304000</v>
      </c>
      <c r="O370" s="93"/>
      <c r="P370" s="90">
        <v>1335000</v>
      </c>
      <c r="Q370" s="93"/>
      <c r="R370" s="90">
        <v>0</v>
      </c>
    </row>
    <row r="371" spans="1:18" x14ac:dyDescent="0.15">
      <c r="C371" s="91" t="s">
        <v>25</v>
      </c>
      <c r="D371" s="91"/>
      <c r="F371" s="75">
        <f t="shared" si="12"/>
        <v>118000</v>
      </c>
      <c r="G371" s="92"/>
      <c r="H371" s="90">
        <v>2000</v>
      </c>
      <c r="I371" s="93"/>
      <c r="J371" s="90">
        <v>47000</v>
      </c>
      <c r="K371" s="93"/>
      <c r="L371" s="90">
        <v>69000</v>
      </c>
      <c r="M371" s="93"/>
      <c r="N371" s="90">
        <v>77000</v>
      </c>
      <c r="O371" s="93"/>
      <c r="P371" s="90">
        <v>89000</v>
      </c>
      <c r="Q371" s="93"/>
      <c r="R371" s="90">
        <v>48000</v>
      </c>
    </row>
    <row r="372" spans="1:18" x14ac:dyDescent="0.15">
      <c r="C372" s="91" t="s">
        <v>17</v>
      </c>
      <c r="D372" s="91"/>
      <c r="F372" s="75">
        <f t="shared" si="12"/>
        <v>963000</v>
      </c>
      <c r="G372" s="92"/>
      <c r="H372" s="90">
        <v>963000</v>
      </c>
      <c r="I372" s="93"/>
      <c r="J372" s="90">
        <v>0</v>
      </c>
      <c r="K372" s="93"/>
      <c r="L372" s="90">
        <v>0</v>
      </c>
      <c r="M372" s="93"/>
      <c r="N372" s="90">
        <v>689000</v>
      </c>
      <c r="O372" s="93"/>
      <c r="P372" s="90">
        <v>274000</v>
      </c>
      <c r="Q372" s="93"/>
      <c r="R372" s="90">
        <v>0</v>
      </c>
    </row>
    <row r="373" spans="1:18" x14ac:dyDescent="0.15">
      <c r="C373" s="91" t="s">
        <v>18</v>
      </c>
      <c r="D373" s="91"/>
      <c r="F373" s="75">
        <f t="shared" si="12"/>
        <v>456000</v>
      </c>
      <c r="G373" s="92"/>
      <c r="H373" s="90">
        <v>456000</v>
      </c>
      <c r="I373" s="93"/>
      <c r="J373" s="90">
        <v>0</v>
      </c>
      <c r="K373" s="93"/>
      <c r="L373" s="90">
        <v>0</v>
      </c>
      <c r="M373" s="93"/>
      <c r="N373" s="90">
        <v>326000</v>
      </c>
      <c r="O373" s="93"/>
      <c r="P373" s="90">
        <v>130000</v>
      </c>
      <c r="Q373" s="93"/>
      <c r="R373" s="90">
        <v>0</v>
      </c>
    </row>
    <row r="374" spans="1:18" x14ac:dyDescent="0.15">
      <c r="C374" s="52" t="s">
        <v>177</v>
      </c>
      <c r="D374" s="52"/>
      <c r="E374" s="91"/>
      <c r="F374" s="75">
        <f t="shared" si="12"/>
        <v>2124000</v>
      </c>
      <c r="G374" s="92"/>
      <c r="H374" s="90">
        <v>1969000</v>
      </c>
      <c r="I374" s="93"/>
      <c r="J374" s="90">
        <v>14000</v>
      </c>
      <c r="K374" s="93"/>
      <c r="L374" s="90">
        <v>141000</v>
      </c>
      <c r="M374" s="93"/>
      <c r="N374" s="90">
        <v>1345000</v>
      </c>
      <c r="O374" s="93"/>
      <c r="P374" s="90">
        <v>779000</v>
      </c>
      <c r="Q374" s="93"/>
      <c r="R374" s="90">
        <v>0</v>
      </c>
    </row>
    <row r="375" spans="1:18" x14ac:dyDescent="0.15">
      <c r="C375" s="91" t="s">
        <v>179</v>
      </c>
      <c r="D375" s="91"/>
      <c r="F375" s="75">
        <f t="shared" si="12"/>
        <v>2135000</v>
      </c>
      <c r="G375" s="92"/>
      <c r="H375" s="90">
        <v>2065000</v>
      </c>
      <c r="I375" s="93"/>
      <c r="J375" s="90">
        <v>22000</v>
      </c>
      <c r="K375" s="93"/>
      <c r="L375" s="90">
        <v>48000</v>
      </c>
      <c r="M375" s="93"/>
      <c r="N375" s="90">
        <v>1316000</v>
      </c>
      <c r="O375" s="93"/>
      <c r="P375" s="90">
        <v>819000</v>
      </c>
      <c r="Q375" s="93"/>
      <c r="R375" s="90">
        <v>0</v>
      </c>
    </row>
    <row r="376" spans="1:18" x14ac:dyDescent="0.15">
      <c r="C376" s="52" t="s">
        <v>21</v>
      </c>
      <c r="D376" s="52"/>
      <c r="G376" s="92"/>
      <c r="H376" s="90"/>
      <c r="I376" s="93"/>
      <c r="J376" s="90"/>
      <c r="K376" s="93"/>
      <c r="L376" s="90"/>
      <c r="M376" s="93"/>
      <c r="N376" s="90"/>
      <c r="O376" s="93"/>
      <c r="P376" s="90"/>
      <c r="Q376" s="93"/>
      <c r="R376" s="90"/>
    </row>
    <row r="377" spans="1:18" x14ac:dyDescent="0.15">
      <c r="C377" s="86"/>
      <c r="D377" s="86"/>
      <c r="E377" s="91" t="s">
        <v>23</v>
      </c>
      <c r="F377" s="94">
        <f t="shared" si="12"/>
        <v>561000</v>
      </c>
      <c r="G377" s="69"/>
      <c r="H377" s="95">
        <v>561000</v>
      </c>
      <c r="I377" s="90"/>
      <c r="J377" s="95">
        <v>0</v>
      </c>
      <c r="K377" s="90"/>
      <c r="L377" s="95">
        <v>0</v>
      </c>
      <c r="M377" s="90"/>
      <c r="N377" s="95">
        <v>402000</v>
      </c>
      <c r="O377" s="90"/>
      <c r="P377" s="95">
        <v>159000</v>
      </c>
      <c r="Q377" s="90"/>
      <c r="R377" s="95">
        <v>0</v>
      </c>
    </row>
    <row r="378" spans="1:18" x14ac:dyDescent="0.15"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</row>
    <row r="379" spans="1:18" x14ac:dyDescent="0.15">
      <c r="E379" s="52" t="s">
        <v>3</v>
      </c>
      <c r="F379" s="94">
        <f>SUM(H379:L379)</f>
        <v>17860000</v>
      </c>
      <c r="G379" s="69"/>
      <c r="H379" s="94">
        <f>SUM(H366:H378)</f>
        <v>15315000</v>
      </c>
      <c r="I379" s="75"/>
      <c r="J379" s="94">
        <f>SUM(J366:J378)</f>
        <v>1207000</v>
      </c>
      <c r="K379" s="75"/>
      <c r="L379" s="94">
        <f>SUM(L366:L378)</f>
        <v>1338000</v>
      </c>
      <c r="M379" s="75"/>
      <c r="N379" s="94">
        <f>SUM(N366:N378)</f>
        <v>11061000</v>
      </c>
      <c r="O379" s="75"/>
      <c r="P379" s="94">
        <f>SUM(P366:P378)</f>
        <v>6847000</v>
      </c>
      <c r="Q379" s="75"/>
      <c r="R379" s="94">
        <f>SUM(R366:R378)</f>
        <v>48000</v>
      </c>
    </row>
    <row r="380" spans="1:18" x14ac:dyDescent="0.15">
      <c r="A380" s="88"/>
      <c r="B380" s="88"/>
      <c r="C380" s="88"/>
      <c r="D380" s="88"/>
      <c r="E380" s="88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</row>
    <row r="381" spans="1:18" x14ac:dyDescent="0.15">
      <c r="B381" s="53" t="s">
        <v>24</v>
      </c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</row>
    <row r="382" spans="1:18" x14ac:dyDescent="0.15">
      <c r="C382" s="52" t="s">
        <v>39</v>
      </c>
      <c r="D382" s="52"/>
      <c r="E382" s="91"/>
      <c r="F382" s="75">
        <f t="shared" ref="F382:F388" si="13">SUM(H382:L382)</f>
        <v>2257000</v>
      </c>
      <c r="G382" s="92"/>
      <c r="H382" s="90">
        <v>1998000</v>
      </c>
      <c r="I382" s="93"/>
      <c r="J382" s="90">
        <v>180000</v>
      </c>
      <c r="K382" s="93"/>
      <c r="L382" s="90">
        <v>79000</v>
      </c>
      <c r="M382" s="93"/>
      <c r="N382" s="90">
        <v>1346000</v>
      </c>
      <c r="O382" s="93"/>
      <c r="P382" s="90">
        <v>911000</v>
      </c>
      <c r="Q382" s="93"/>
      <c r="R382" s="90">
        <v>0</v>
      </c>
    </row>
    <row r="383" spans="1:18" x14ac:dyDescent="0.15">
      <c r="C383" s="52" t="s">
        <v>175</v>
      </c>
      <c r="D383" s="52"/>
      <c r="E383" s="91"/>
      <c r="F383" s="75">
        <f t="shared" si="13"/>
        <v>0</v>
      </c>
      <c r="G383" s="92"/>
      <c r="H383" s="90"/>
      <c r="I383" s="93"/>
      <c r="J383" s="90"/>
      <c r="K383" s="93"/>
      <c r="L383" s="90"/>
      <c r="M383" s="93"/>
      <c r="N383" s="90"/>
      <c r="O383" s="93"/>
      <c r="P383" s="90"/>
      <c r="Q383" s="93"/>
      <c r="R383" s="90"/>
    </row>
    <row r="384" spans="1:18" x14ac:dyDescent="0.15">
      <c r="C384" s="52"/>
      <c r="D384" s="52"/>
      <c r="E384" s="91" t="s">
        <v>176</v>
      </c>
      <c r="G384" s="92"/>
      <c r="H384" s="90">
        <v>260000</v>
      </c>
      <c r="I384" s="93"/>
      <c r="J384" s="90">
        <v>3000</v>
      </c>
      <c r="K384" s="93"/>
      <c r="L384" s="90">
        <v>5000</v>
      </c>
      <c r="M384" s="93"/>
      <c r="N384" s="90">
        <v>27000</v>
      </c>
      <c r="O384" s="93"/>
      <c r="P384" s="90">
        <v>241000</v>
      </c>
      <c r="Q384" s="93"/>
      <c r="R384" s="90">
        <v>0</v>
      </c>
    </row>
    <row r="385" spans="1:18" x14ac:dyDescent="0.15">
      <c r="C385" s="91" t="s">
        <v>181</v>
      </c>
      <c r="D385" s="91"/>
      <c r="F385" s="75">
        <f t="shared" si="13"/>
        <v>8000</v>
      </c>
      <c r="G385" s="92"/>
      <c r="H385" s="90">
        <v>0</v>
      </c>
      <c r="I385" s="93"/>
      <c r="J385" s="90">
        <v>0</v>
      </c>
      <c r="K385" s="93"/>
      <c r="L385" s="90">
        <v>8000</v>
      </c>
      <c r="M385" s="93"/>
      <c r="N385" s="90">
        <v>0</v>
      </c>
      <c r="O385" s="93"/>
      <c r="P385" s="90">
        <v>8000</v>
      </c>
      <c r="Q385" s="93"/>
      <c r="R385" s="90">
        <v>0</v>
      </c>
    </row>
    <row r="386" spans="1:18" x14ac:dyDescent="0.15">
      <c r="C386" s="91" t="s">
        <v>17</v>
      </c>
      <c r="D386" s="91"/>
      <c r="F386" s="75">
        <f t="shared" si="13"/>
        <v>14000</v>
      </c>
      <c r="G386" s="92"/>
      <c r="H386" s="90">
        <v>0</v>
      </c>
      <c r="I386" s="93"/>
      <c r="J386" s="90">
        <v>0</v>
      </c>
      <c r="K386" s="93"/>
      <c r="L386" s="90">
        <v>14000</v>
      </c>
      <c r="M386" s="93"/>
      <c r="N386" s="90">
        <v>0</v>
      </c>
      <c r="O386" s="93"/>
      <c r="P386" s="90">
        <v>14000</v>
      </c>
      <c r="Q386" s="93"/>
      <c r="R386" s="90">
        <v>0</v>
      </c>
    </row>
    <row r="387" spans="1:18" x14ac:dyDescent="0.15">
      <c r="C387" s="91" t="s">
        <v>18</v>
      </c>
      <c r="D387" s="91"/>
      <c r="F387" s="75">
        <f>SUM(H387:L387)</f>
        <v>-1000</v>
      </c>
      <c r="G387" s="92"/>
      <c r="H387" s="90">
        <v>-1000</v>
      </c>
      <c r="I387" s="93"/>
      <c r="J387" s="90">
        <v>0</v>
      </c>
      <c r="K387" s="93"/>
      <c r="L387" s="90">
        <v>0</v>
      </c>
      <c r="M387" s="93"/>
      <c r="N387" s="90">
        <v>0</v>
      </c>
      <c r="O387" s="93"/>
      <c r="P387" s="90">
        <v>-1000</v>
      </c>
      <c r="Q387" s="93"/>
      <c r="R387" s="90">
        <v>0</v>
      </c>
    </row>
    <row r="388" spans="1:18" x14ac:dyDescent="0.15">
      <c r="C388" s="91" t="s">
        <v>179</v>
      </c>
      <c r="D388" s="91"/>
      <c r="F388" s="75">
        <f t="shared" si="13"/>
        <v>1199000</v>
      </c>
      <c r="G388" s="92"/>
      <c r="H388" s="90">
        <v>1133000</v>
      </c>
      <c r="I388" s="93"/>
      <c r="J388" s="90">
        <v>38000</v>
      </c>
      <c r="K388" s="93"/>
      <c r="L388" s="90">
        <v>28000</v>
      </c>
      <c r="M388" s="93"/>
      <c r="N388" s="90">
        <v>526000</v>
      </c>
      <c r="O388" s="93"/>
      <c r="P388" s="90">
        <v>673000</v>
      </c>
      <c r="Q388" s="93"/>
      <c r="R388" s="90">
        <v>0</v>
      </c>
    </row>
    <row r="389" spans="1:18" x14ac:dyDescent="0.15">
      <c r="C389" s="52" t="s">
        <v>180</v>
      </c>
      <c r="D389" s="52"/>
      <c r="E389" s="91"/>
      <c r="F389" s="94">
        <f>SUM(H389:L389)</f>
        <v>2110000</v>
      </c>
      <c r="G389" s="69"/>
      <c r="H389" s="95">
        <v>1000</v>
      </c>
      <c r="I389" s="90"/>
      <c r="J389" s="95">
        <v>19000</v>
      </c>
      <c r="K389" s="90"/>
      <c r="L389" s="95">
        <v>2090000</v>
      </c>
      <c r="M389" s="90"/>
      <c r="N389" s="95">
        <v>1326000</v>
      </c>
      <c r="O389" s="90"/>
      <c r="P389" s="95">
        <v>784000</v>
      </c>
      <c r="Q389" s="90"/>
      <c r="R389" s="95">
        <v>0</v>
      </c>
    </row>
    <row r="390" spans="1:18" x14ac:dyDescent="0.15"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</row>
    <row r="391" spans="1:18" x14ac:dyDescent="0.15">
      <c r="E391" s="52" t="s">
        <v>3</v>
      </c>
      <c r="F391" s="94">
        <f>SUM(H391:L391)</f>
        <v>5855000</v>
      </c>
      <c r="G391" s="69"/>
      <c r="H391" s="94">
        <f>SUM(H382:H390)</f>
        <v>3391000</v>
      </c>
      <c r="I391" s="75"/>
      <c r="J391" s="94">
        <f>SUM(J382:J390)</f>
        <v>240000</v>
      </c>
      <c r="K391" s="75"/>
      <c r="L391" s="94">
        <f>SUM(L382:L390)</f>
        <v>2224000</v>
      </c>
      <c r="M391" s="75"/>
      <c r="N391" s="94">
        <f>SUM(N382:N390)</f>
        <v>3225000</v>
      </c>
      <c r="O391" s="75"/>
      <c r="P391" s="94">
        <f>SUM(P382:P390)</f>
        <v>2630000</v>
      </c>
      <c r="Q391" s="75"/>
      <c r="R391" s="94">
        <f>SUM(R382:R390)</f>
        <v>0</v>
      </c>
    </row>
    <row r="392" spans="1:18" x14ac:dyDescent="0.15">
      <c r="A392" s="88"/>
      <c r="B392" s="88"/>
      <c r="C392" s="88"/>
      <c r="D392" s="88"/>
      <c r="E392" s="88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</row>
    <row r="393" spans="1:18" x14ac:dyDescent="0.15">
      <c r="A393" s="88"/>
      <c r="B393" s="53" t="s">
        <v>28</v>
      </c>
      <c r="C393" s="88"/>
      <c r="D393" s="88"/>
      <c r="F393" s="94">
        <f>SUM(H393:L393)</f>
        <v>109000</v>
      </c>
      <c r="G393" s="69"/>
      <c r="H393" s="95">
        <v>1000</v>
      </c>
      <c r="I393" s="90"/>
      <c r="J393" s="95">
        <v>44000</v>
      </c>
      <c r="K393" s="90"/>
      <c r="L393" s="95">
        <v>64000</v>
      </c>
      <c r="M393" s="90"/>
      <c r="N393" s="95">
        <v>64000</v>
      </c>
      <c r="O393" s="90"/>
      <c r="P393" s="95">
        <v>45000</v>
      </c>
      <c r="Q393" s="90"/>
      <c r="R393" s="95">
        <v>0</v>
      </c>
    </row>
    <row r="394" spans="1:18" x14ac:dyDescent="0.15">
      <c r="A394" s="88"/>
      <c r="C394" s="88"/>
      <c r="D394" s="88"/>
      <c r="G394" s="69"/>
      <c r="H394" s="90"/>
      <c r="I394" s="90"/>
      <c r="J394" s="90"/>
      <c r="K394" s="90"/>
      <c r="L394" s="90"/>
      <c r="M394" s="90"/>
      <c r="N394" s="90"/>
      <c r="O394" s="90"/>
      <c r="P394" s="90"/>
      <c r="Q394" s="90"/>
      <c r="R394" s="90"/>
    </row>
    <row r="395" spans="1:18" x14ac:dyDescent="0.15">
      <c r="E395" s="52" t="s">
        <v>182</v>
      </c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</row>
    <row r="396" spans="1:18" x14ac:dyDescent="0.15">
      <c r="E396" s="52" t="s">
        <v>183</v>
      </c>
      <c r="F396" s="94">
        <f>SUM(H396:L396)</f>
        <v>23824000</v>
      </c>
      <c r="G396" s="69"/>
      <c r="H396" s="94">
        <f>H379+H391+H393</f>
        <v>18707000</v>
      </c>
      <c r="I396" s="75"/>
      <c r="J396" s="94">
        <f>J379+J391+J393</f>
        <v>1491000</v>
      </c>
      <c r="K396" s="75"/>
      <c r="L396" s="94">
        <f>L379+L391+L393</f>
        <v>3626000</v>
      </c>
      <c r="M396" s="75"/>
      <c r="N396" s="94">
        <f>N379+N391+N393</f>
        <v>14350000</v>
      </c>
      <c r="O396" s="75"/>
      <c r="P396" s="94">
        <f>P379+P391+P393</f>
        <v>9522000</v>
      </c>
      <c r="Q396" s="75"/>
      <c r="R396" s="94">
        <f>R379+R391+R393</f>
        <v>48000</v>
      </c>
    </row>
    <row r="397" spans="1:18" x14ac:dyDescent="0.15">
      <c r="A397" s="88"/>
      <c r="B397" s="88"/>
      <c r="C397" s="88"/>
      <c r="D397" s="88"/>
      <c r="E397" s="88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</row>
    <row r="398" spans="1:18" x14ac:dyDescent="0.15">
      <c r="A398" s="88"/>
      <c r="B398" s="88"/>
      <c r="C398" s="88"/>
      <c r="D398" s="88"/>
      <c r="E398" s="88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</row>
    <row r="399" spans="1:18" x14ac:dyDescent="0.15">
      <c r="A399" s="79" t="s">
        <v>184</v>
      </c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</row>
    <row r="400" spans="1:18" x14ac:dyDescent="0.15">
      <c r="A400" s="88"/>
      <c r="B400" s="88"/>
      <c r="C400" s="88"/>
      <c r="D400" s="88"/>
      <c r="E400" s="88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</row>
    <row r="401" spans="1:18" x14ac:dyDescent="0.15">
      <c r="A401" s="88"/>
      <c r="B401" s="53" t="s">
        <v>13</v>
      </c>
      <c r="C401" s="88"/>
      <c r="D401" s="88"/>
      <c r="F401" s="94">
        <f>SUM(H401:L401)</f>
        <v>9802000</v>
      </c>
      <c r="G401" s="69"/>
      <c r="H401" s="95">
        <v>5250000</v>
      </c>
      <c r="I401" s="90"/>
      <c r="J401" s="95">
        <v>3557000</v>
      </c>
      <c r="K401" s="90"/>
      <c r="L401" s="95">
        <v>995000</v>
      </c>
      <c r="M401" s="90"/>
      <c r="N401" s="95">
        <v>6220000</v>
      </c>
      <c r="O401" s="90"/>
      <c r="P401" s="95">
        <v>3582000</v>
      </c>
      <c r="Q401" s="90"/>
      <c r="R401" s="95">
        <v>0</v>
      </c>
    </row>
    <row r="402" spans="1:18" x14ac:dyDescent="0.15">
      <c r="G402" s="69"/>
      <c r="H402" s="75"/>
      <c r="I402" s="90"/>
      <c r="J402" s="75"/>
      <c r="K402" s="90"/>
      <c r="L402" s="75"/>
      <c r="M402" s="90"/>
      <c r="N402" s="75"/>
      <c r="O402" s="90"/>
      <c r="P402" s="75"/>
      <c r="Q402" s="90"/>
      <c r="R402" s="75"/>
    </row>
    <row r="403" spans="1:18" x14ac:dyDescent="0.15">
      <c r="B403" s="53" t="s">
        <v>24</v>
      </c>
      <c r="F403" s="94">
        <f>SUM(H403:L403)</f>
        <v>6925000</v>
      </c>
      <c r="G403" s="69"/>
      <c r="H403" s="95">
        <v>224000</v>
      </c>
      <c r="I403" s="90"/>
      <c r="J403" s="95">
        <v>52000</v>
      </c>
      <c r="K403" s="90"/>
      <c r="L403" s="95">
        <v>6649000</v>
      </c>
      <c r="M403" s="90"/>
      <c r="N403" s="95">
        <v>3949000</v>
      </c>
      <c r="O403" s="90"/>
      <c r="P403" s="95">
        <v>3847000</v>
      </c>
      <c r="Q403" s="90"/>
      <c r="R403" s="95">
        <v>871000</v>
      </c>
    </row>
    <row r="404" spans="1:18" x14ac:dyDescent="0.15">
      <c r="A404" s="88"/>
      <c r="B404" s="88"/>
      <c r="C404" s="88"/>
      <c r="D404" s="88"/>
      <c r="E404" s="88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</row>
    <row r="405" spans="1:18" x14ac:dyDescent="0.15">
      <c r="A405" s="88"/>
      <c r="B405" s="53" t="s">
        <v>29</v>
      </c>
      <c r="C405" s="88"/>
      <c r="D405" s="88"/>
      <c r="F405" s="94">
        <f>SUM(H405:L405)</f>
        <v>12466000</v>
      </c>
      <c r="G405" s="69"/>
      <c r="H405" s="95">
        <v>212000</v>
      </c>
      <c r="I405" s="90"/>
      <c r="J405" s="95">
        <v>12244000</v>
      </c>
      <c r="K405" s="90"/>
      <c r="L405" s="95">
        <v>10000</v>
      </c>
      <c r="M405" s="90"/>
      <c r="N405" s="95">
        <v>5285000</v>
      </c>
      <c r="O405" s="90"/>
      <c r="P405" s="95">
        <v>7181000</v>
      </c>
      <c r="Q405" s="90"/>
      <c r="R405" s="95">
        <v>0</v>
      </c>
    </row>
    <row r="406" spans="1:18" x14ac:dyDescent="0.15">
      <c r="A406" s="88"/>
      <c r="C406" s="88"/>
      <c r="D406" s="88"/>
      <c r="E406" s="88"/>
      <c r="G406" s="69"/>
      <c r="H406" s="90"/>
      <c r="I406" s="90"/>
      <c r="J406" s="90"/>
      <c r="K406" s="90"/>
      <c r="L406" s="90"/>
      <c r="M406" s="90"/>
      <c r="N406" s="90"/>
      <c r="O406" s="90"/>
      <c r="P406" s="90"/>
      <c r="Q406" s="90"/>
      <c r="R406" s="90"/>
    </row>
    <row r="407" spans="1:18" x14ac:dyDescent="0.15">
      <c r="A407" s="88"/>
      <c r="C407" s="88"/>
      <c r="D407" s="88"/>
      <c r="E407" s="88"/>
      <c r="G407" s="69"/>
      <c r="H407" s="90"/>
      <c r="I407" s="90"/>
      <c r="J407" s="90"/>
      <c r="K407" s="90"/>
      <c r="L407" s="90"/>
      <c r="M407" s="90"/>
      <c r="N407" s="90"/>
      <c r="O407" s="90"/>
      <c r="P407" s="90"/>
      <c r="Q407" s="90"/>
      <c r="R407" s="90"/>
    </row>
    <row r="408" spans="1:18" x14ac:dyDescent="0.15">
      <c r="E408" s="52" t="s">
        <v>185</v>
      </c>
      <c r="F408" s="94">
        <f>SUM(H408:L408)</f>
        <v>29193000</v>
      </c>
      <c r="G408" s="99"/>
      <c r="H408" s="94">
        <f>H401+H403+H405</f>
        <v>5686000</v>
      </c>
      <c r="I408" s="94"/>
      <c r="J408" s="94">
        <f>J401+J403+J405</f>
        <v>15853000</v>
      </c>
      <c r="K408" s="94"/>
      <c r="L408" s="94">
        <f>L401+L403+L405</f>
        <v>7654000</v>
      </c>
      <c r="M408" s="94"/>
      <c r="N408" s="94">
        <f>N401+N403+N405</f>
        <v>15454000</v>
      </c>
      <c r="O408" s="94"/>
      <c r="P408" s="94">
        <f>P401+P403+P405</f>
        <v>14610000</v>
      </c>
      <c r="Q408" s="94"/>
      <c r="R408" s="94">
        <f>R401+R403+R405</f>
        <v>871000</v>
      </c>
    </row>
    <row r="409" spans="1:18" x14ac:dyDescent="0.15">
      <c r="A409" s="88"/>
      <c r="B409" s="88"/>
      <c r="C409" s="88"/>
      <c r="D409" s="88"/>
      <c r="E409" s="88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</row>
    <row r="410" spans="1:18" x14ac:dyDescent="0.15">
      <c r="A410" s="79" t="s">
        <v>186</v>
      </c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</row>
    <row r="411" spans="1:18" x14ac:dyDescent="0.15">
      <c r="A411" s="88"/>
      <c r="B411" s="88"/>
      <c r="C411" s="88"/>
      <c r="D411" s="88"/>
      <c r="E411" s="88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</row>
    <row r="412" spans="1:18" x14ac:dyDescent="0.15">
      <c r="B412" s="53" t="s">
        <v>13</v>
      </c>
      <c r="F412" s="94">
        <f>SUM(H412:L412)</f>
        <v>26507000</v>
      </c>
      <c r="G412" s="69"/>
      <c r="H412" s="95">
        <v>16515000</v>
      </c>
      <c r="I412" s="90"/>
      <c r="J412" s="95">
        <v>6492000</v>
      </c>
      <c r="K412" s="90"/>
      <c r="L412" s="95">
        <v>3500000</v>
      </c>
      <c r="M412" s="90"/>
      <c r="N412" s="95">
        <v>17297000</v>
      </c>
      <c r="O412" s="90"/>
      <c r="P412" s="95">
        <v>9210000</v>
      </c>
      <c r="Q412" s="90"/>
      <c r="R412" s="95">
        <v>0</v>
      </c>
    </row>
    <row r="413" spans="1:18" x14ac:dyDescent="0.15">
      <c r="B413" s="88"/>
      <c r="C413" s="88"/>
      <c r="D413" s="88"/>
      <c r="E413" s="88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</row>
    <row r="414" spans="1:18" x14ac:dyDescent="0.15">
      <c r="B414" s="53" t="s">
        <v>24</v>
      </c>
      <c r="C414" s="52"/>
      <c r="D414" s="52"/>
      <c r="E414" s="91"/>
      <c r="F414" s="94">
        <f>SUM(H414:L414)</f>
        <v>43632000</v>
      </c>
      <c r="G414" s="69"/>
      <c r="H414" s="95">
        <v>569000</v>
      </c>
      <c r="I414" s="90"/>
      <c r="J414" s="95">
        <v>2037000</v>
      </c>
      <c r="K414" s="90"/>
      <c r="L414" s="95">
        <v>41026000</v>
      </c>
      <c r="M414" s="90"/>
      <c r="N414" s="95">
        <v>17118000</v>
      </c>
      <c r="O414" s="90"/>
      <c r="P414" s="95">
        <v>26514000</v>
      </c>
      <c r="Q414" s="90"/>
      <c r="R414" s="95">
        <v>0</v>
      </c>
    </row>
    <row r="415" spans="1:18" x14ac:dyDescent="0.15">
      <c r="A415" s="88"/>
      <c r="B415" s="88"/>
      <c r="C415" s="88"/>
      <c r="D415" s="88"/>
      <c r="E415" s="88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</row>
    <row r="416" spans="1:18" x14ac:dyDescent="0.15">
      <c r="B416" s="53" t="s">
        <v>28</v>
      </c>
      <c r="F416" s="94">
        <f>SUM(H416:L416)</f>
        <v>1441000</v>
      </c>
      <c r="G416" s="69"/>
      <c r="H416" s="95">
        <v>-1000</v>
      </c>
      <c r="I416" s="90"/>
      <c r="J416" s="95">
        <v>-13000</v>
      </c>
      <c r="K416" s="90"/>
      <c r="L416" s="95">
        <v>1455000</v>
      </c>
      <c r="M416" s="90"/>
      <c r="N416" s="95">
        <v>800000</v>
      </c>
      <c r="O416" s="90"/>
      <c r="P416" s="95">
        <v>641000</v>
      </c>
      <c r="Q416" s="90"/>
      <c r="R416" s="95">
        <v>0</v>
      </c>
    </row>
    <row r="417" spans="1:18" x14ac:dyDescent="0.15">
      <c r="G417" s="69"/>
      <c r="H417" s="75"/>
      <c r="I417" s="75"/>
      <c r="J417" s="75"/>
      <c r="K417" s="75"/>
      <c r="L417" s="75"/>
      <c r="M417" s="75"/>
      <c r="N417" s="75"/>
      <c r="O417" s="75"/>
      <c r="P417" s="75"/>
      <c r="Q417" s="75"/>
      <c r="R417" s="75"/>
    </row>
    <row r="418" spans="1:18" x14ac:dyDescent="0.15">
      <c r="B418" s="53" t="s">
        <v>29</v>
      </c>
      <c r="F418" s="94">
        <f>SUM(H418:L418)</f>
        <v>639000</v>
      </c>
      <c r="G418" s="69"/>
      <c r="H418" s="95">
        <v>612000</v>
      </c>
      <c r="I418" s="90"/>
      <c r="J418" s="95">
        <v>26000</v>
      </c>
      <c r="K418" s="90"/>
      <c r="L418" s="95">
        <v>1000</v>
      </c>
      <c r="M418" s="90"/>
      <c r="N418" s="95">
        <v>435000</v>
      </c>
      <c r="O418" s="90"/>
      <c r="P418" s="95">
        <v>204000</v>
      </c>
      <c r="Q418" s="90"/>
      <c r="R418" s="95">
        <v>0</v>
      </c>
    </row>
    <row r="419" spans="1:18" x14ac:dyDescent="0.15">
      <c r="G419" s="69"/>
      <c r="H419" s="75"/>
      <c r="I419" s="75"/>
      <c r="J419" s="75"/>
      <c r="K419" s="75"/>
      <c r="L419" s="75"/>
      <c r="M419" s="75"/>
      <c r="N419" s="75"/>
      <c r="O419" s="75"/>
      <c r="P419" s="75"/>
      <c r="Q419" s="75"/>
      <c r="R419" s="75"/>
    </row>
    <row r="420" spans="1:18" x14ac:dyDescent="0.15">
      <c r="E420" s="52" t="s">
        <v>187</v>
      </c>
      <c r="F420" s="94">
        <f>SUM(H420:L420)</f>
        <v>72219000</v>
      </c>
      <c r="G420" s="69"/>
      <c r="H420" s="94">
        <f>+H412+H414+H418+H416</f>
        <v>17695000</v>
      </c>
      <c r="I420" s="75"/>
      <c r="J420" s="94">
        <f>+J412+J414+J418+J416</f>
        <v>8542000</v>
      </c>
      <c r="K420" s="75"/>
      <c r="L420" s="94">
        <f>+L412+L414+L418+L416</f>
        <v>45982000</v>
      </c>
      <c r="M420" s="75"/>
      <c r="N420" s="94">
        <f>+N412+N414+N418+N416</f>
        <v>35650000</v>
      </c>
      <c r="O420" s="75"/>
      <c r="P420" s="94">
        <f>+P412+P414+P418+P416</f>
        <v>36569000</v>
      </c>
      <c r="Q420" s="75"/>
      <c r="R420" s="94">
        <f>+R412+R414+R418+R416</f>
        <v>0</v>
      </c>
    </row>
    <row r="421" spans="1:18" x14ac:dyDescent="0.15">
      <c r="G421" s="69"/>
      <c r="H421" s="75"/>
      <c r="I421" s="75"/>
      <c r="J421" s="75"/>
      <c r="K421" s="75"/>
      <c r="L421" s="75"/>
      <c r="M421" s="75"/>
      <c r="N421" s="75"/>
      <c r="O421" s="75"/>
      <c r="P421" s="75"/>
      <c r="Q421" s="75"/>
      <c r="R421" s="75"/>
    </row>
    <row r="422" spans="1:18" x14ac:dyDescent="0.15">
      <c r="A422" s="79" t="s">
        <v>188</v>
      </c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</row>
    <row r="423" spans="1:18" x14ac:dyDescent="0.15">
      <c r="A423" s="79"/>
      <c r="B423" s="79" t="s">
        <v>189</v>
      </c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</row>
    <row r="424" spans="1:18" x14ac:dyDescent="0.15">
      <c r="A424" s="88"/>
      <c r="B424" s="88"/>
      <c r="C424" s="88"/>
      <c r="D424" s="88"/>
      <c r="E424" s="88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</row>
    <row r="425" spans="1:18" x14ac:dyDescent="0.15">
      <c r="B425" s="53" t="s">
        <v>13</v>
      </c>
      <c r="F425" s="94">
        <f>SUM(H425:L425)</f>
        <v>9998000</v>
      </c>
      <c r="G425" s="69"/>
      <c r="H425" s="95">
        <v>5770000</v>
      </c>
      <c r="I425" s="90"/>
      <c r="J425" s="95">
        <v>2359000</v>
      </c>
      <c r="K425" s="90"/>
      <c r="L425" s="95">
        <v>1869000</v>
      </c>
      <c r="M425" s="90"/>
      <c r="N425" s="95">
        <v>6118000</v>
      </c>
      <c r="O425" s="90"/>
      <c r="P425" s="95">
        <v>3880000</v>
      </c>
      <c r="Q425" s="90"/>
      <c r="R425" s="95">
        <v>0</v>
      </c>
    </row>
    <row r="426" spans="1:18" x14ac:dyDescent="0.15">
      <c r="A426" s="88"/>
      <c r="B426" s="88"/>
      <c r="C426" s="88"/>
      <c r="D426" s="88"/>
      <c r="E426" s="88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</row>
    <row r="427" spans="1:18" x14ac:dyDescent="0.15">
      <c r="B427" s="53" t="s">
        <v>24</v>
      </c>
      <c r="F427" s="94">
        <f>SUM(H427:L427)</f>
        <v>936000</v>
      </c>
      <c r="G427" s="69"/>
      <c r="H427" s="95">
        <v>65000</v>
      </c>
      <c r="I427" s="90"/>
      <c r="J427" s="95">
        <v>177000</v>
      </c>
      <c r="K427" s="90"/>
      <c r="L427" s="95">
        <v>694000</v>
      </c>
      <c r="M427" s="90"/>
      <c r="N427" s="95">
        <v>624000</v>
      </c>
      <c r="O427" s="90"/>
      <c r="P427" s="95">
        <v>312000</v>
      </c>
      <c r="Q427" s="90"/>
      <c r="R427" s="95">
        <v>0</v>
      </c>
    </row>
    <row r="428" spans="1:18" x14ac:dyDescent="0.15"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</row>
    <row r="429" spans="1:18" x14ac:dyDescent="0.15">
      <c r="B429" s="53" t="s">
        <v>28</v>
      </c>
      <c r="F429" s="94">
        <f>SUM(H429:L429)</f>
        <v>545000</v>
      </c>
      <c r="G429" s="69"/>
      <c r="H429" s="95">
        <v>222000</v>
      </c>
      <c r="I429" s="90"/>
      <c r="J429" s="95">
        <v>37000</v>
      </c>
      <c r="K429" s="90"/>
      <c r="L429" s="95">
        <v>286000</v>
      </c>
      <c r="M429" s="90"/>
      <c r="N429" s="95">
        <v>206000</v>
      </c>
      <c r="O429" s="90"/>
      <c r="P429" s="95">
        <v>339000</v>
      </c>
      <c r="Q429" s="90"/>
      <c r="R429" s="95">
        <v>0</v>
      </c>
    </row>
    <row r="430" spans="1:18" x14ac:dyDescent="0.15"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</row>
    <row r="431" spans="1:18" x14ac:dyDescent="0.15">
      <c r="E431" s="52" t="s">
        <v>190</v>
      </c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</row>
    <row r="432" spans="1:18" x14ac:dyDescent="0.15">
      <c r="E432" s="52" t="s">
        <v>191</v>
      </c>
      <c r="F432" s="94">
        <f>SUM(H432:L432)</f>
        <v>11479000</v>
      </c>
      <c r="G432" s="69"/>
      <c r="H432" s="94">
        <f>H425+H427+H429</f>
        <v>6057000</v>
      </c>
      <c r="I432" s="75"/>
      <c r="J432" s="94">
        <f>J425+J427+J429</f>
        <v>2573000</v>
      </c>
      <c r="K432" s="75"/>
      <c r="L432" s="94">
        <f>L425+L427+L429</f>
        <v>2849000</v>
      </c>
      <c r="M432" s="75"/>
      <c r="N432" s="94">
        <f>N425+N427+N429</f>
        <v>6948000</v>
      </c>
      <c r="O432" s="75"/>
      <c r="P432" s="94">
        <f>P425+P427+P429</f>
        <v>4531000</v>
      </c>
      <c r="Q432" s="75"/>
      <c r="R432" s="94">
        <f>R425+R427+R429</f>
        <v>0</v>
      </c>
    </row>
    <row r="433" spans="1:18" x14ac:dyDescent="0.15">
      <c r="A433" s="88"/>
      <c r="B433" s="88"/>
      <c r="C433" s="88"/>
      <c r="D433" s="88"/>
      <c r="E433" s="88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</row>
    <row r="434" spans="1:18" x14ac:dyDescent="0.15">
      <c r="A434" s="79" t="s">
        <v>192</v>
      </c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</row>
    <row r="435" spans="1:18" x14ac:dyDescent="0.15">
      <c r="A435" s="88"/>
      <c r="B435" s="88"/>
      <c r="C435" s="88"/>
      <c r="D435" s="88"/>
      <c r="E435" s="88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</row>
    <row r="436" spans="1:18" x14ac:dyDescent="0.15">
      <c r="B436" s="53" t="s">
        <v>13</v>
      </c>
      <c r="F436" s="94">
        <f>SUM(H436:L436)</f>
        <v>37076000</v>
      </c>
      <c r="G436" s="69"/>
      <c r="H436" s="95">
        <v>5449000</v>
      </c>
      <c r="I436" s="90"/>
      <c r="J436" s="95">
        <v>765000</v>
      </c>
      <c r="K436" s="90"/>
      <c r="L436" s="95">
        <v>30862000</v>
      </c>
      <c r="M436" s="90"/>
      <c r="N436" s="95">
        <v>6693000</v>
      </c>
      <c r="O436" s="90"/>
      <c r="P436" s="95">
        <v>30383000</v>
      </c>
      <c r="Q436" s="90"/>
      <c r="R436" s="95">
        <v>0</v>
      </c>
    </row>
    <row r="437" spans="1:18" x14ac:dyDescent="0.15">
      <c r="A437" s="88"/>
      <c r="B437" s="88"/>
      <c r="C437" s="88"/>
      <c r="D437" s="88"/>
      <c r="E437" s="88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</row>
    <row r="438" spans="1:18" x14ac:dyDescent="0.15">
      <c r="B438" s="53" t="s">
        <v>24</v>
      </c>
      <c r="F438" s="94">
        <f>SUM(H438:L438)</f>
        <v>2038000</v>
      </c>
      <c r="G438" s="69"/>
      <c r="H438" s="95">
        <v>10000</v>
      </c>
      <c r="I438" s="90"/>
      <c r="J438" s="95">
        <v>60000</v>
      </c>
      <c r="K438" s="90"/>
      <c r="L438" s="95">
        <v>1968000</v>
      </c>
      <c r="M438" s="90"/>
      <c r="N438" s="95">
        <v>1284000</v>
      </c>
      <c r="O438" s="90"/>
      <c r="P438" s="95">
        <v>754000</v>
      </c>
      <c r="Q438" s="90"/>
      <c r="R438" s="95">
        <v>0</v>
      </c>
    </row>
    <row r="439" spans="1:18" x14ac:dyDescent="0.15">
      <c r="A439" s="88"/>
      <c r="B439" s="88"/>
      <c r="C439" s="88"/>
      <c r="D439" s="88"/>
      <c r="E439" s="88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</row>
    <row r="440" spans="1:18" x14ac:dyDescent="0.15">
      <c r="B440" s="53" t="s">
        <v>28</v>
      </c>
      <c r="F440" s="94">
        <f>SUM(H440:L440)</f>
        <v>1065000</v>
      </c>
      <c r="G440" s="69"/>
      <c r="H440" s="95">
        <v>0</v>
      </c>
      <c r="I440" s="90"/>
      <c r="J440" s="95">
        <v>281000</v>
      </c>
      <c r="K440" s="90"/>
      <c r="L440" s="95">
        <v>784000</v>
      </c>
      <c r="M440" s="90"/>
      <c r="N440" s="95">
        <v>523000</v>
      </c>
      <c r="O440" s="90"/>
      <c r="P440" s="95">
        <v>542000</v>
      </c>
      <c r="Q440" s="90"/>
      <c r="R440" s="95">
        <v>0</v>
      </c>
    </row>
    <row r="441" spans="1:18" x14ac:dyDescent="0.15"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</row>
    <row r="442" spans="1:18" x14ac:dyDescent="0.15">
      <c r="B442" s="53" t="s">
        <v>29</v>
      </c>
      <c r="F442" s="94">
        <f>SUM(H442:L442)</f>
        <v>75000</v>
      </c>
      <c r="G442" s="69"/>
      <c r="H442" s="95">
        <v>0</v>
      </c>
      <c r="I442" s="90"/>
      <c r="J442" s="95">
        <v>75000</v>
      </c>
      <c r="K442" s="90"/>
      <c r="L442" s="95">
        <v>0</v>
      </c>
      <c r="M442" s="90"/>
      <c r="N442" s="95">
        <v>14000</v>
      </c>
      <c r="O442" s="90"/>
      <c r="P442" s="95">
        <v>61000</v>
      </c>
      <c r="Q442" s="90"/>
      <c r="R442" s="95">
        <v>0</v>
      </c>
    </row>
    <row r="443" spans="1:18" x14ac:dyDescent="0.15"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</row>
    <row r="444" spans="1:18" x14ac:dyDescent="0.15">
      <c r="E444" s="52" t="s">
        <v>193</v>
      </c>
      <c r="F444" s="94">
        <f>SUM(H444:L444)</f>
        <v>40254000</v>
      </c>
      <c r="G444" s="69"/>
      <c r="H444" s="94">
        <f>+H436+H438+H440+H442</f>
        <v>5459000</v>
      </c>
      <c r="I444" s="75"/>
      <c r="J444" s="94">
        <f>+J436+J438+J440+J442</f>
        <v>1181000</v>
      </c>
      <c r="K444" s="75"/>
      <c r="L444" s="94">
        <f>+L436+L438+L440+L442</f>
        <v>33614000</v>
      </c>
      <c r="M444" s="75"/>
      <c r="N444" s="94">
        <f>+N436+N438+N440+N442</f>
        <v>8514000</v>
      </c>
      <c r="O444" s="75"/>
      <c r="P444" s="94">
        <f>+P436+P438+P440+P442</f>
        <v>31740000</v>
      </c>
      <c r="Q444" s="75"/>
      <c r="R444" s="94">
        <f>+R436+R438+R440+R442</f>
        <v>0</v>
      </c>
    </row>
    <row r="445" spans="1:18" x14ac:dyDescent="0.15">
      <c r="A445" s="88"/>
      <c r="B445" s="88"/>
      <c r="C445" s="88"/>
      <c r="D445" s="88"/>
      <c r="E445" s="88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</row>
    <row r="446" spans="1:18" x14ac:dyDescent="0.15">
      <c r="A446" s="79" t="s">
        <v>194</v>
      </c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</row>
    <row r="447" spans="1:18" x14ac:dyDescent="0.15"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</row>
    <row r="448" spans="1:18" x14ac:dyDescent="0.15">
      <c r="B448" s="53" t="s">
        <v>13</v>
      </c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</row>
    <row r="449" spans="1:18" x14ac:dyDescent="0.15">
      <c r="C449" s="52" t="s">
        <v>195</v>
      </c>
      <c r="D449" s="52"/>
      <c r="E449" s="91"/>
      <c r="F449" s="75">
        <f t="shared" ref="F449:F455" si="14">SUM(H449:L449)</f>
        <v>700000</v>
      </c>
      <c r="G449" s="92"/>
      <c r="H449" s="90">
        <v>30000</v>
      </c>
      <c r="I449" s="93"/>
      <c r="J449" s="90">
        <v>5000</v>
      </c>
      <c r="K449" s="93"/>
      <c r="L449" s="90">
        <v>665000</v>
      </c>
      <c r="M449" s="93"/>
      <c r="N449" s="90">
        <v>145000</v>
      </c>
      <c r="O449" s="93"/>
      <c r="P449" s="90">
        <v>555000</v>
      </c>
      <c r="Q449" s="93"/>
      <c r="R449" s="90">
        <v>0</v>
      </c>
    </row>
    <row r="450" spans="1:18" x14ac:dyDescent="0.15">
      <c r="C450" s="52" t="s">
        <v>196</v>
      </c>
      <c r="D450" s="52"/>
      <c r="E450" s="91"/>
      <c r="F450" s="75">
        <f t="shared" si="14"/>
        <v>47000</v>
      </c>
      <c r="G450" s="92"/>
      <c r="H450" s="90">
        <v>1000</v>
      </c>
      <c r="I450" s="93"/>
      <c r="J450" s="90">
        <v>0</v>
      </c>
      <c r="K450" s="93"/>
      <c r="L450" s="90">
        <v>46000</v>
      </c>
      <c r="M450" s="93"/>
      <c r="N450" s="90">
        <v>33000</v>
      </c>
      <c r="O450" s="93"/>
      <c r="P450" s="90">
        <v>14000</v>
      </c>
      <c r="Q450" s="93"/>
      <c r="R450" s="90">
        <v>0</v>
      </c>
    </row>
    <row r="451" spans="1:18" x14ac:dyDescent="0.15">
      <c r="C451" s="52" t="s">
        <v>198</v>
      </c>
      <c r="D451" s="52"/>
      <c r="E451" s="91"/>
      <c r="F451" s="75">
        <f t="shared" si="14"/>
        <v>3000</v>
      </c>
      <c r="G451" s="92"/>
      <c r="H451" s="90">
        <v>0</v>
      </c>
      <c r="I451" s="93"/>
      <c r="J451" s="90">
        <v>0</v>
      </c>
      <c r="K451" s="93"/>
      <c r="L451" s="90">
        <v>3000</v>
      </c>
      <c r="M451" s="93"/>
      <c r="N451" s="90">
        <v>0</v>
      </c>
      <c r="O451" s="93"/>
      <c r="P451" s="90">
        <v>3000</v>
      </c>
      <c r="Q451" s="93"/>
      <c r="R451" s="90">
        <v>0</v>
      </c>
    </row>
    <row r="452" spans="1:18" x14ac:dyDescent="0.15">
      <c r="C452" s="52" t="s">
        <v>199</v>
      </c>
      <c r="D452" s="52"/>
      <c r="E452" s="91"/>
      <c r="F452" s="75">
        <f t="shared" si="14"/>
        <v>2000</v>
      </c>
      <c r="G452" s="92"/>
      <c r="H452" s="90">
        <v>4000</v>
      </c>
      <c r="I452" s="93"/>
      <c r="J452" s="90">
        <v>0</v>
      </c>
      <c r="K452" s="93"/>
      <c r="L452" s="90">
        <v>-2000</v>
      </c>
      <c r="M452" s="93"/>
      <c r="N452" s="90">
        <v>0</v>
      </c>
      <c r="O452" s="93"/>
      <c r="P452" s="90">
        <v>2000</v>
      </c>
      <c r="Q452" s="93"/>
      <c r="R452" s="90">
        <v>0</v>
      </c>
    </row>
    <row r="453" spans="1:18" x14ac:dyDescent="0.15">
      <c r="C453" s="91" t="s">
        <v>200</v>
      </c>
      <c r="D453" s="91"/>
      <c r="F453" s="75">
        <f t="shared" si="14"/>
        <v>17000</v>
      </c>
      <c r="G453" s="92"/>
      <c r="H453" s="90">
        <v>0</v>
      </c>
      <c r="I453" s="93"/>
      <c r="J453" s="90">
        <v>0</v>
      </c>
      <c r="K453" s="93"/>
      <c r="L453" s="90">
        <v>17000</v>
      </c>
      <c r="M453" s="93"/>
      <c r="N453" s="90">
        <v>0</v>
      </c>
      <c r="O453" s="93"/>
      <c r="P453" s="90">
        <v>17000</v>
      </c>
      <c r="Q453" s="93"/>
      <c r="R453" s="90">
        <v>0</v>
      </c>
    </row>
    <row r="454" spans="1:18" x14ac:dyDescent="0.15">
      <c r="C454" s="91" t="s">
        <v>115</v>
      </c>
      <c r="D454" s="91"/>
      <c r="F454" s="75">
        <f t="shared" si="14"/>
        <v>315000</v>
      </c>
      <c r="G454" s="92"/>
      <c r="H454" s="90">
        <v>92000</v>
      </c>
      <c r="I454" s="93"/>
      <c r="J454" s="90">
        <v>223000</v>
      </c>
      <c r="K454" s="93"/>
      <c r="L454" s="90">
        <v>0</v>
      </c>
      <c r="M454" s="93"/>
      <c r="N454" s="90">
        <v>201000</v>
      </c>
      <c r="O454" s="93"/>
      <c r="P454" s="90">
        <v>114000</v>
      </c>
      <c r="Q454" s="93"/>
      <c r="R454" s="90">
        <v>0</v>
      </c>
    </row>
    <row r="455" spans="1:18" x14ac:dyDescent="0.15">
      <c r="C455" s="91" t="s">
        <v>201</v>
      </c>
      <c r="D455" s="91"/>
      <c r="F455" s="75">
        <f t="shared" si="14"/>
        <v>2000</v>
      </c>
      <c r="G455" s="92"/>
      <c r="H455" s="90">
        <v>0</v>
      </c>
      <c r="I455" s="93"/>
      <c r="J455" s="90">
        <v>0</v>
      </c>
      <c r="K455" s="93"/>
      <c r="L455" s="90">
        <v>2000</v>
      </c>
      <c r="M455" s="93"/>
      <c r="N455" s="90">
        <v>0</v>
      </c>
      <c r="O455" s="93"/>
      <c r="P455" s="90">
        <v>2000</v>
      </c>
      <c r="Q455" s="93"/>
      <c r="R455" s="90">
        <v>0</v>
      </c>
    </row>
    <row r="456" spans="1:18" x14ac:dyDescent="0.15">
      <c r="C456" s="52" t="s">
        <v>203</v>
      </c>
      <c r="D456" s="52"/>
      <c r="E456" s="91"/>
      <c r="F456" s="94">
        <f>SUM(H456:L456)</f>
        <v>191000</v>
      </c>
      <c r="G456" s="69"/>
      <c r="H456" s="95">
        <v>0</v>
      </c>
      <c r="I456" s="90"/>
      <c r="J456" s="95">
        <v>0</v>
      </c>
      <c r="K456" s="90"/>
      <c r="L456" s="95">
        <v>191000</v>
      </c>
      <c r="M456" s="90"/>
      <c r="N456" s="95">
        <v>62000</v>
      </c>
      <c r="O456" s="90"/>
      <c r="P456" s="95">
        <v>129000</v>
      </c>
      <c r="Q456" s="90"/>
      <c r="R456" s="95">
        <v>0</v>
      </c>
    </row>
    <row r="457" spans="1:18" x14ac:dyDescent="0.15"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</row>
    <row r="458" spans="1:18" x14ac:dyDescent="0.15">
      <c r="E458" s="52" t="s">
        <v>3</v>
      </c>
      <c r="F458" s="94">
        <f>SUM(H458:L458)</f>
        <v>1277000</v>
      </c>
      <c r="G458" s="69"/>
      <c r="H458" s="94">
        <f>SUM(H449:H457)</f>
        <v>127000</v>
      </c>
      <c r="I458" s="75"/>
      <c r="J458" s="94">
        <f>SUM(J449:J457)</f>
        <v>228000</v>
      </c>
      <c r="K458" s="75"/>
      <c r="L458" s="94">
        <f>SUM(L449:L457)</f>
        <v>922000</v>
      </c>
      <c r="M458" s="75"/>
      <c r="N458" s="94">
        <f>SUM(N449:N457)</f>
        <v>441000</v>
      </c>
      <c r="O458" s="75"/>
      <c r="P458" s="94">
        <f>SUM(P449:P457)</f>
        <v>836000</v>
      </c>
      <c r="Q458" s="75"/>
      <c r="R458" s="94">
        <f>SUM(R449:R457)</f>
        <v>0</v>
      </c>
    </row>
    <row r="459" spans="1:18" x14ac:dyDescent="0.15">
      <c r="A459" s="88"/>
      <c r="B459" s="88"/>
      <c r="C459" s="88"/>
      <c r="D459" s="88"/>
      <c r="E459" s="88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</row>
    <row r="460" spans="1:18" x14ac:dyDescent="0.15">
      <c r="B460" s="53" t="s">
        <v>24</v>
      </c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</row>
    <row r="461" spans="1:18" x14ac:dyDescent="0.15">
      <c r="C461" s="52" t="s">
        <v>195</v>
      </c>
      <c r="D461" s="52"/>
      <c r="E461" s="91"/>
      <c r="F461" s="75">
        <f t="shared" ref="F461:F469" si="15">SUM(H461:L461)</f>
        <v>125000</v>
      </c>
      <c r="G461" s="92"/>
      <c r="H461" s="90">
        <v>91000</v>
      </c>
      <c r="I461" s="93"/>
      <c r="J461" s="90">
        <v>20000</v>
      </c>
      <c r="K461" s="93"/>
      <c r="L461" s="90">
        <v>14000</v>
      </c>
      <c r="M461" s="93"/>
      <c r="N461" s="90">
        <v>84000</v>
      </c>
      <c r="O461" s="93"/>
      <c r="P461" s="90">
        <v>41000</v>
      </c>
      <c r="Q461" s="93"/>
      <c r="R461" s="90">
        <v>0</v>
      </c>
    </row>
    <row r="462" spans="1:18" x14ac:dyDescent="0.15">
      <c r="C462" s="52" t="s">
        <v>196</v>
      </c>
      <c r="D462" s="52"/>
      <c r="E462" s="91"/>
      <c r="F462" s="75">
        <f t="shared" si="15"/>
        <v>518000</v>
      </c>
      <c r="G462" s="92"/>
      <c r="H462" s="90">
        <v>130000</v>
      </c>
      <c r="I462" s="93"/>
      <c r="J462" s="90">
        <v>13000</v>
      </c>
      <c r="K462" s="93"/>
      <c r="L462" s="90">
        <v>375000</v>
      </c>
      <c r="M462" s="93"/>
      <c r="N462" s="90">
        <v>298000</v>
      </c>
      <c r="O462" s="93"/>
      <c r="P462" s="90">
        <v>220000</v>
      </c>
      <c r="Q462" s="93"/>
      <c r="R462" s="90">
        <v>0</v>
      </c>
    </row>
    <row r="463" spans="1:18" x14ac:dyDescent="0.15">
      <c r="C463" s="52" t="s">
        <v>197</v>
      </c>
      <c r="D463" s="52"/>
      <c r="E463" s="91"/>
      <c r="F463" s="75">
        <f t="shared" si="15"/>
        <v>251000</v>
      </c>
      <c r="G463" s="92"/>
      <c r="H463" s="90">
        <v>109000</v>
      </c>
      <c r="I463" s="93"/>
      <c r="J463" s="90">
        <v>-6000</v>
      </c>
      <c r="K463" s="93"/>
      <c r="L463" s="90">
        <v>148000</v>
      </c>
      <c r="M463" s="93"/>
      <c r="N463" s="90">
        <v>85000</v>
      </c>
      <c r="O463" s="93"/>
      <c r="P463" s="90">
        <v>176000</v>
      </c>
      <c r="Q463" s="93"/>
      <c r="R463" s="90">
        <v>10000</v>
      </c>
    </row>
    <row r="464" spans="1:18" x14ac:dyDescent="0.15">
      <c r="C464" s="52" t="s">
        <v>198</v>
      </c>
      <c r="D464" s="52"/>
      <c r="E464" s="91"/>
      <c r="F464" s="75">
        <f t="shared" si="15"/>
        <v>4015000</v>
      </c>
      <c r="G464" s="92"/>
      <c r="H464" s="90">
        <v>329000</v>
      </c>
      <c r="I464" s="93"/>
      <c r="J464" s="90">
        <v>1009000</v>
      </c>
      <c r="K464" s="93"/>
      <c r="L464" s="90">
        <v>2677000</v>
      </c>
      <c r="M464" s="93"/>
      <c r="N464" s="90">
        <v>1635000</v>
      </c>
      <c r="O464" s="93"/>
      <c r="P464" s="90">
        <v>2500000</v>
      </c>
      <c r="Q464" s="93"/>
      <c r="R464" s="90">
        <v>120000</v>
      </c>
    </row>
    <row r="465" spans="1:18" x14ac:dyDescent="0.15">
      <c r="C465" s="91" t="s">
        <v>199</v>
      </c>
      <c r="D465" s="91"/>
      <c r="F465" s="75">
        <f t="shared" si="15"/>
        <v>734000</v>
      </c>
      <c r="G465" s="92"/>
      <c r="H465" s="90">
        <v>286000</v>
      </c>
      <c r="I465" s="93"/>
      <c r="J465" s="90">
        <v>29000</v>
      </c>
      <c r="K465" s="93"/>
      <c r="L465" s="90">
        <v>419000</v>
      </c>
      <c r="M465" s="93"/>
      <c r="N465" s="90">
        <v>369000</v>
      </c>
      <c r="O465" s="93"/>
      <c r="P465" s="90">
        <v>365000</v>
      </c>
      <c r="Q465" s="93"/>
      <c r="R465" s="90">
        <v>0</v>
      </c>
    </row>
    <row r="466" spans="1:18" x14ac:dyDescent="0.15">
      <c r="C466" s="91" t="s">
        <v>200</v>
      </c>
      <c r="D466" s="91"/>
      <c r="F466" s="75">
        <f t="shared" si="15"/>
        <v>2638000</v>
      </c>
      <c r="G466" s="92"/>
      <c r="H466" s="90">
        <v>359000</v>
      </c>
      <c r="I466" s="93"/>
      <c r="J466" s="90">
        <v>256000</v>
      </c>
      <c r="K466" s="93"/>
      <c r="L466" s="90">
        <v>2023000</v>
      </c>
      <c r="M466" s="93"/>
      <c r="N466" s="90">
        <v>1147000</v>
      </c>
      <c r="O466" s="93"/>
      <c r="P466" s="90">
        <v>1491000</v>
      </c>
      <c r="Q466" s="93"/>
      <c r="R466" s="90">
        <v>0</v>
      </c>
    </row>
    <row r="467" spans="1:18" x14ac:dyDescent="0.15">
      <c r="C467" s="91" t="s">
        <v>115</v>
      </c>
      <c r="D467" s="91"/>
      <c r="F467" s="75">
        <f t="shared" si="15"/>
        <v>225000</v>
      </c>
      <c r="G467" s="92"/>
      <c r="H467" s="90">
        <v>17000</v>
      </c>
      <c r="I467" s="93"/>
      <c r="J467" s="90">
        <v>22000</v>
      </c>
      <c r="K467" s="93"/>
      <c r="L467" s="90">
        <v>186000</v>
      </c>
      <c r="M467" s="93"/>
      <c r="N467" s="90">
        <v>89000</v>
      </c>
      <c r="O467" s="93"/>
      <c r="P467" s="90">
        <v>136000</v>
      </c>
      <c r="Q467" s="93"/>
      <c r="R467" s="90">
        <v>0</v>
      </c>
    </row>
    <row r="468" spans="1:18" x14ac:dyDescent="0.15">
      <c r="C468" s="91" t="s">
        <v>201</v>
      </c>
      <c r="D468" s="91"/>
      <c r="F468" s="75">
        <f t="shared" si="15"/>
        <v>523000</v>
      </c>
      <c r="G468" s="92"/>
      <c r="H468" s="90">
        <v>102000</v>
      </c>
      <c r="I468" s="93"/>
      <c r="J468" s="90">
        <v>15000</v>
      </c>
      <c r="K468" s="93"/>
      <c r="L468" s="90">
        <v>406000</v>
      </c>
      <c r="M468" s="93"/>
      <c r="N468" s="90">
        <v>210000</v>
      </c>
      <c r="O468" s="93"/>
      <c r="P468" s="90">
        <v>313000</v>
      </c>
      <c r="Q468" s="93"/>
      <c r="R468" s="90">
        <v>0</v>
      </c>
    </row>
    <row r="469" spans="1:18" x14ac:dyDescent="0.15">
      <c r="C469" s="91" t="s">
        <v>202</v>
      </c>
      <c r="D469" s="91"/>
      <c r="F469" s="75">
        <f t="shared" si="15"/>
        <v>643000</v>
      </c>
      <c r="G469" s="92"/>
      <c r="H469" s="90">
        <v>185000</v>
      </c>
      <c r="I469" s="93"/>
      <c r="J469" s="90">
        <v>11000</v>
      </c>
      <c r="K469" s="93"/>
      <c r="L469" s="90">
        <v>447000</v>
      </c>
      <c r="M469" s="93"/>
      <c r="N469" s="90">
        <v>346000</v>
      </c>
      <c r="O469" s="93"/>
      <c r="P469" s="90">
        <v>297000</v>
      </c>
      <c r="Q469" s="93"/>
      <c r="R469" s="90">
        <v>0</v>
      </c>
    </row>
    <row r="470" spans="1:18" x14ac:dyDescent="0.15">
      <c r="C470" s="52" t="s">
        <v>203</v>
      </c>
      <c r="D470" s="52"/>
      <c r="E470" s="91"/>
      <c r="F470" s="94">
        <f>SUM(H470:L470)</f>
        <v>726000</v>
      </c>
      <c r="G470" s="69"/>
      <c r="H470" s="95">
        <v>93000</v>
      </c>
      <c r="I470" s="90"/>
      <c r="J470" s="95">
        <v>47000</v>
      </c>
      <c r="K470" s="90"/>
      <c r="L470" s="95">
        <v>586000</v>
      </c>
      <c r="M470" s="90"/>
      <c r="N470" s="95">
        <v>110000</v>
      </c>
      <c r="O470" s="90"/>
      <c r="P470" s="95">
        <v>616000</v>
      </c>
      <c r="Q470" s="90"/>
      <c r="R470" s="95">
        <v>0</v>
      </c>
    </row>
    <row r="471" spans="1:18" x14ac:dyDescent="0.15"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</row>
    <row r="472" spans="1:18" x14ac:dyDescent="0.15">
      <c r="E472" s="52" t="s">
        <v>3</v>
      </c>
      <c r="F472" s="94">
        <f>SUM(H472:L472)</f>
        <v>10398000</v>
      </c>
      <c r="G472" s="69"/>
      <c r="H472" s="94">
        <f>SUM(H461:H471)</f>
        <v>1701000</v>
      </c>
      <c r="I472" s="75"/>
      <c r="J472" s="94">
        <f>SUM(J461:J471)</f>
        <v>1416000</v>
      </c>
      <c r="K472" s="75"/>
      <c r="L472" s="94">
        <f>SUM(L461:L471)</f>
        <v>7281000</v>
      </c>
      <c r="M472" s="75"/>
      <c r="N472" s="94">
        <f>SUM(N461:N471)</f>
        <v>4373000</v>
      </c>
      <c r="O472" s="75"/>
      <c r="P472" s="94">
        <f>SUM(P461:P471)</f>
        <v>6155000</v>
      </c>
      <c r="Q472" s="75"/>
      <c r="R472" s="94">
        <f>SUM(R461:R471)</f>
        <v>130000</v>
      </c>
    </row>
    <row r="473" spans="1:18" x14ac:dyDescent="0.15">
      <c r="A473" s="88"/>
      <c r="B473" s="88"/>
      <c r="C473" s="88"/>
      <c r="D473" s="88"/>
      <c r="E473" s="88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</row>
    <row r="474" spans="1:18" x14ac:dyDescent="0.15">
      <c r="B474" s="53" t="s">
        <v>28</v>
      </c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</row>
    <row r="475" spans="1:18" x14ac:dyDescent="0.15">
      <c r="C475" s="91" t="s">
        <v>198</v>
      </c>
      <c r="D475" s="91"/>
      <c r="F475" s="75">
        <f>SUM(H475:L475)</f>
        <v>82000</v>
      </c>
      <c r="G475" s="92"/>
      <c r="H475" s="90">
        <v>0</v>
      </c>
      <c r="I475" s="93"/>
      <c r="J475" s="90">
        <v>3000</v>
      </c>
      <c r="K475" s="93"/>
      <c r="L475" s="90">
        <v>79000</v>
      </c>
      <c r="M475" s="93"/>
      <c r="N475" s="90">
        <v>32000</v>
      </c>
      <c r="O475" s="93"/>
      <c r="P475" s="90">
        <v>50000</v>
      </c>
      <c r="Q475" s="93"/>
      <c r="R475" s="90">
        <v>0</v>
      </c>
    </row>
    <row r="476" spans="1:18" x14ac:dyDescent="0.15">
      <c r="C476" s="91" t="s">
        <v>115</v>
      </c>
      <c r="D476" s="91"/>
      <c r="F476" s="75">
        <f>SUM(H476:L476)</f>
        <v>21000</v>
      </c>
      <c r="G476" s="92"/>
      <c r="H476" s="90">
        <v>0</v>
      </c>
      <c r="I476" s="93"/>
      <c r="J476" s="90">
        <v>1000</v>
      </c>
      <c r="K476" s="93"/>
      <c r="L476" s="90">
        <v>20000</v>
      </c>
      <c r="M476" s="93"/>
      <c r="N476" s="90">
        <v>6000</v>
      </c>
      <c r="O476" s="93"/>
      <c r="P476" s="90">
        <v>15000</v>
      </c>
      <c r="Q476" s="93"/>
      <c r="R476" s="90">
        <v>0</v>
      </c>
    </row>
    <row r="477" spans="1:18" x14ac:dyDescent="0.15">
      <c r="C477" s="91" t="s">
        <v>203</v>
      </c>
      <c r="D477" s="91"/>
      <c r="F477" s="75">
        <f t="shared" ref="F477" si="16">SUM(H477:L477)</f>
        <v>79000</v>
      </c>
      <c r="G477" s="92"/>
      <c r="H477" s="90">
        <v>34000</v>
      </c>
      <c r="I477" s="93"/>
      <c r="J477" s="90">
        <v>0</v>
      </c>
      <c r="K477" s="93"/>
      <c r="L477" s="90">
        <v>45000</v>
      </c>
      <c r="M477" s="93"/>
      <c r="N477" s="90">
        <v>32000</v>
      </c>
      <c r="O477" s="93"/>
      <c r="P477" s="90">
        <v>47000</v>
      </c>
      <c r="Q477" s="93"/>
      <c r="R477" s="90">
        <v>0</v>
      </c>
    </row>
    <row r="478" spans="1:18" x14ac:dyDescent="0.15">
      <c r="F478" s="65"/>
      <c r="G478" s="69"/>
      <c r="H478" s="66"/>
      <c r="I478" s="69"/>
      <c r="J478" s="66"/>
      <c r="K478" s="69"/>
      <c r="L478" s="66"/>
      <c r="M478" s="69"/>
      <c r="N478" s="66"/>
      <c r="O478" s="69"/>
      <c r="P478" s="66"/>
      <c r="Q478" s="69"/>
      <c r="R478" s="66"/>
    </row>
    <row r="479" spans="1:18" x14ac:dyDescent="0.15">
      <c r="E479" s="52" t="s">
        <v>3</v>
      </c>
      <c r="F479" s="94">
        <f>SUM(H479:L479)</f>
        <v>182000</v>
      </c>
      <c r="G479" s="69"/>
      <c r="H479" s="94">
        <f>SUM(H475:H477)</f>
        <v>34000</v>
      </c>
      <c r="I479" s="75"/>
      <c r="J479" s="94">
        <f>SUM(J475:J477)</f>
        <v>4000</v>
      </c>
      <c r="K479" s="75"/>
      <c r="L479" s="94">
        <f>SUM(L475:L477)</f>
        <v>144000</v>
      </c>
      <c r="M479" s="75"/>
      <c r="N479" s="94">
        <f>SUM(N475:N477)</f>
        <v>70000</v>
      </c>
      <c r="O479" s="75"/>
      <c r="P479" s="94">
        <f>SUM(P475:P477)</f>
        <v>112000</v>
      </c>
      <c r="Q479" s="75"/>
      <c r="R479" s="94">
        <f>SUM(R475:R477)</f>
        <v>0</v>
      </c>
    </row>
    <row r="480" spans="1:18" x14ac:dyDescent="0.15">
      <c r="G480" s="69"/>
      <c r="H480" s="75"/>
      <c r="I480" s="75"/>
      <c r="J480" s="75"/>
      <c r="K480" s="75"/>
      <c r="L480" s="75"/>
      <c r="M480" s="75"/>
      <c r="N480" s="75"/>
      <c r="O480" s="75"/>
      <c r="P480" s="75"/>
      <c r="Q480" s="75"/>
      <c r="R480" s="75"/>
    </row>
    <row r="481" spans="1:18" x14ac:dyDescent="0.15">
      <c r="B481" s="53" t="s">
        <v>29</v>
      </c>
      <c r="F481" s="94">
        <f>SUM(H481:L481)</f>
        <v>230000</v>
      </c>
      <c r="G481" s="69"/>
      <c r="H481" s="95">
        <v>0</v>
      </c>
      <c r="I481" s="90"/>
      <c r="J481" s="95">
        <v>230000</v>
      </c>
      <c r="K481" s="90"/>
      <c r="L481" s="95">
        <v>0</v>
      </c>
      <c r="M481" s="90"/>
      <c r="N481" s="95">
        <v>164000</v>
      </c>
      <c r="O481" s="90"/>
      <c r="P481" s="95">
        <v>66000</v>
      </c>
      <c r="Q481" s="90"/>
      <c r="R481" s="95">
        <v>0</v>
      </c>
    </row>
    <row r="482" spans="1:18" x14ac:dyDescent="0.15">
      <c r="G482" s="69"/>
      <c r="H482" s="75"/>
      <c r="I482" s="75"/>
      <c r="J482" s="75"/>
      <c r="K482" s="75"/>
      <c r="L482" s="75"/>
      <c r="M482" s="75"/>
      <c r="N482" s="75"/>
      <c r="O482" s="75"/>
      <c r="P482" s="75"/>
      <c r="Q482" s="75"/>
      <c r="R482" s="75"/>
    </row>
    <row r="483" spans="1:18" x14ac:dyDescent="0.15">
      <c r="E483" s="52" t="s">
        <v>204</v>
      </c>
      <c r="F483" s="94">
        <f>SUM(H483:L483)</f>
        <v>12087000</v>
      </c>
      <c r="G483" s="69"/>
      <c r="H483" s="94">
        <f>+H458+H472+H479+H481</f>
        <v>1862000</v>
      </c>
      <c r="I483" s="75"/>
      <c r="J483" s="94">
        <f>+J458+J472+J479+J481</f>
        <v>1878000</v>
      </c>
      <c r="K483" s="75"/>
      <c r="L483" s="94">
        <f>+L458+L472+L479+L481</f>
        <v>8347000</v>
      </c>
      <c r="M483" s="75"/>
      <c r="N483" s="94">
        <f>+N458+N472+N479+N481</f>
        <v>5048000</v>
      </c>
      <c r="O483" s="75"/>
      <c r="P483" s="94">
        <f>+P458+P472+P479+P481</f>
        <v>7169000</v>
      </c>
      <c r="Q483" s="75"/>
      <c r="R483" s="94">
        <f>+R458+R472+R479+R481</f>
        <v>130000</v>
      </c>
    </row>
    <row r="484" spans="1:18" x14ac:dyDescent="0.15">
      <c r="G484" s="69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5"/>
    </row>
    <row r="485" spans="1:18" x14ac:dyDescent="0.15">
      <c r="A485" s="79" t="s">
        <v>205</v>
      </c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</row>
    <row r="486" spans="1:18" x14ac:dyDescent="0.15">
      <c r="A486" s="88"/>
      <c r="B486" s="88"/>
      <c r="C486" s="88"/>
      <c r="D486" s="88"/>
      <c r="E486" s="88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</row>
    <row r="487" spans="1:18" x14ac:dyDescent="0.15">
      <c r="B487" s="53" t="s">
        <v>13</v>
      </c>
      <c r="F487" s="94">
        <f>SUM(H487:L487)</f>
        <v>7872000</v>
      </c>
      <c r="G487" s="69"/>
      <c r="H487" s="95">
        <v>4849000</v>
      </c>
      <c r="I487" s="90"/>
      <c r="J487" s="95">
        <v>2771000</v>
      </c>
      <c r="K487" s="90"/>
      <c r="L487" s="95">
        <v>252000</v>
      </c>
      <c r="M487" s="90"/>
      <c r="N487" s="95">
        <v>4940000</v>
      </c>
      <c r="O487" s="90"/>
      <c r="P487" s="95">
        <v>2932000</v>
      </c>
      <c r="Q487" s="90"/>
      <c r="R487" s="95">
        <v>0</v>
      </c>
    </row>
    <row r="488" spans="1:18" x14ac:dyDescent="0.15">
      <c r="A488" s="88"/>
      <c r="B488" s="88"/>
      <c r="C488" s="88"/>
      <c r="D488" s="88"/>
      <c r="E488" s="88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</row>
    <row r="489" spans="1:18" x14ac:dyDescent="0.15">
      <c r="A489" s="88"/>
      <c r="B489" s="53" t="s">
        <v>24</v>
      </c>
      <c r="C489" s="88"/>
      <c r="D489" s="88"/>
      <c r="F489" s="94">
        <f>SUM(H489:L489)</f>
        <v>58000</v>
      </c>
      <c r="G489" s="69"/>
      <c r="H489" s="95">
        <v>47000</v>
      </c>
      <c r="I489" s="90"/>
      <c r="J489" s="95">
        <v>0</v>
      </c>
      <c r="K489" s="90"/>
      <c r="L489" s="95">
        <v>11000</v>
      </c>
      <c r="M489" s="90"/>
      <c r="N489" s="95">
        <v>38000</v>
      </c>
      <c r="O489" s="90"/>
      <c r="P489" s="95">
        <v>20000</v>
      </c>
      <c r="Q489" s="90"/>
      <c r="R489" s="95">
        <v>0</v>
      </c>
    </row>
    <row r="490" spans="1:18" x14ac:dyDescent="0.15">
      <c r="A490" s="88"/>
      <c r="B490" s="88"/>
      <c r="C490" s="88"/>
      <c r="D490" s="88"/>
      <c r="E490" s="88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</row>
    <row r="491" spans="1:18" x14ac:dyDescent="0.15">
      <c r="A491" s="88"/>
      <c r="B491" s="53" t="s">
        <v>28</v>
      </c>
      <c r="C491" s="88"/>
      <c r="D491" s="88"/>
      <c r="F491" s="94">
        <f>SUM(H491:L491)</f>
        <v>292000</v>
      </c>
      <c r="G491" s="69"/>
      <c r="H491" s="95">
        <v>0</v>
      </c>
      <c r="I491" s="90"/>
      <c r="J491" s="95">
        <v>8000</v>
      </c>
      <c r="K491" s="90"/>
      <c r="L491" s="95">
        <v>284000</v>
      </c>
      <c r="M491" s="90"/>
      <c r="N491" s="95">
        <v>83000</v>
      </c>
      <c r="O491" s="90"/>
      <c r="P491" s="95">
        <v>209000</v>
      </c>
      <c r="Q491" s="90"/>
      <c r="R491" s="95">
        <v>0</v>
      </c>
    </row>
    <row r="492" spans="1:18" x14ac:dyDescent="0.15">
      <c r="A492" s="88"/>
      <c r="B492" s="88"/>
      <c r="C492" s="88"/>
      <c r="D492" s="88"/>
      <c r="E492" s="88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</row>
    <row r="493" spans="1:18" x14ac:dyDescent="0.15">
      <c r="E493" s="52" t="s">
        <v>206</v>
      </c>
      <c r="F493" s="94">
        <f>SUM(H493:L493)</f>
        <v>8222000</v>
      </c>
      <c r="G493" s="69"/>
      <c r="H493" s="94">
        <f>+H487+H489+H491</f>
        <v>4896000</v>
      </c>
      <c r="I493" s="75"/>
      <c r="J493" s="94">
        <f>+J487+J489+J491</f>
        <v>2779000</v>
      </c>
      <c r="K493" s="75"/>
      <c r="L493" s="94">
        <f>+L487+L489+L491</f>
        <v>547000</v>
      </c>
      <c r="M493" s="75"/>
      <c r="N493" s="94">
        <f>+N487+N489+N491</f>
        <v>5061000</v>
      </c>
      <c r="O493" s="75"/>
      <c r="P493" s="94">
        <f>+P487+P489+P491</f>
        <v>3161000</v>
      </c>
      <c r="Q493" s="75"/>
      <c r="R493" s="94">
        <f>+R487+R489+R491</f>
        <v>0</v>
      </c>
    </row>
    <row r="494" spans="1:18" x14ac:dyDescent="0.15">
      <c r="A494" s="88"/>
      <c r="B494" s="88"/>
      <c r="C494" s="88"/>
      <c r="D494" s="88"/>
      <c r="E494" s="88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</row>
    <row r="495" spans="1:18" x14ac:dyDescent="0.15">
      <c r="A495" s="79" t="s">
        <v>207</v>
      </c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</row>
    <row r="496" spans="1:18" x14ac:dyDescent="0.15">
      <c r="A496" s="88"/>
      <c r="B496" s="88"/>
      <c r="C496" s="88"/>
      <c r="D496" s="88"/>
      <c r="E496" s="88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</row>
    <row r="497" spans="1:18" x14ac:dyDescent="0.15">
      <c r="B497" s="53" t="s">
        <v>13</v>
      </c>
      <c r="F497" s="94">
        <f>SUM(H497:L497)</f>
        <v>18429000</v>
      </c>
      <c r="G497" s="69"/>
      <c r="H497" s="95">
        <v>1412000</v>
      </c>
      <c r="I497" s="90"/>
      <c r="J497" s="95">
        <v>16994000</v>
      </c>
      <c r="K497" s="90"/>
      <c r="L497" s="95">
        <v>23000</v>
      </c>
      <c r="M497" s="90"/>
      <c r="N497" s="95">
        <v>10595000</v>
      </c>
      <c r="O497" s="90"/>
      <c r="P497" s="95">
        <v>7834000</v>
      </c>
      <c r="Q497" s="90"/>
      <c r="R497" s="95">
        <v>0</v>
      </c>
    </row>
    <row r="498" spans="1:18" x14ac:dyDescent="0.15">
      <c r="A498" s="88"/>
      <c r="B498" s="88"/>
      <c r="C498" s="88"/>
      <c r="D498" s="88"/>
      <c r="E498" s="88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</row>
    <row r="499" spans="1:18" x14ac:dyDescent="0.15">
      <c r="A499" s="79" t="s">
        <v>208</v>
      </c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</row>
    <row r="500" spans="1:18" x14ac:dyDescent="0.15">
      <c r="A500" s="88"/>
      <c r="B500" s="88"/>
      <c r="C500" s="88"/>
      <c r="D500" s="88"/>
      <c r="E500" s="88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</row>
    <row r="501" spans="1:18" x14ac:dyDescent="0.15">
      <c r="B501" s="53" t="s">
        <v>13</v>
      </c>
      <c r="F501" s="94">
        <f>SUM(H501:L501)</f>
        <v>33484000</v>
      </c>
      <c r="G501" s="69"/>
      <c r="H501" s="95">
        <v>-455000</v>
      </c>
      <c r="I501" s="90"/>
      <c r="J501" s="95">
        <v>33907000</v>
      </c>
      <c r="K501" s="90"/>
      <c r="L501" s="95">
        <v>32000</v>
      </c>
      <c r="M501" s="90"/>
      <c r="N501" s="95">
        <v>15461000</v>
      </c>
      <c r="O501" s="90"/>
      <c r="P501" s="95">
        <v>18023000</v>
      </c>
      <c r="Q501" s="90"/>
      <c r="R501" s="95">
        <v>0</v>
      </c>
    </row>
    <row r="502" spans="1:18" x14ac:dyDescent="0.15">
      <c r="A502" s="88"/>
      <c r="B502" s="88"/>
      <c r="C502" s="88"/>
      <c r="D502" s="88"/>
      <c r="E502" s="88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</row>
    <row r="503" spans="1:18" x14ac:dyDescent="0.15">
      <c r="A503" s="79" t="s">
        <v>209</v>
      </c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</row>
    <row r="504" spans="1:18" x14ac:dyDescent="0.15">
      <c r="A504" s="88"/>
      <c r="B504" s="88"/>
      <c r="C504" s="88"/>
      <c r="D504" s="88"/>
      <c r="E504" s="88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</row>
    <row r="505" spans="1:18" x14ac:dyDescent="0.15">
      <c r="B505" s="53" t="s">
        <v>13</v>
      </c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</row>
    <row r="506" spans="1:18" x14ac:dyDescent="0.15">
      <c r="C506" s="52" t="s">
        <v>210</v>
      </c>
      <c r="D506" s="52"/>
      <c r="E506" s="91"/>
      <c r="F506" s="75">
        <f>SUM(H506:L506)</f>
        <v>0</v>
      </c>
      <c r="G506" s="92"/>
      <c r="H506" s="90">
        <v>0</v>
      </c>
      <c r="I506" s="93"/>
      <c r="J506" s="90">
        <v>0</v>
      </c>
      <c r="K506" s="93"/>
      <c r="L506" s="90">
        <v>0</v>
      </c>
      <c r="M506" s="93"/>
      <c r="N506" s="90">
        <v>0</v>
      </c>
      <c r="O506" s="93"/>
      <c r="P506" s="90">
        <v>0</v>
      </c>
      <c r="Q506" s="93"/>
      <c r="R506" s="90">
        <v>0</v>
      </c>
    </row>
    <row r="507" spans="1:18" x14ac:dyDescent="0.15">
      <c r="C507" s="52" t="s">
        <v>211</v>
      </c>
      <c r="D507" s="52"/>
      <c r="E507" s="91"/>
      <c r="F507" s="75">
        <f>SUM(H507:L507)</f>
        <v>71000</v>
      </c>
      <c r="G507" s="92"/>
      <c r="H507" s="90">
        <v>31000</v>
      </c>
      <c r="I507" s="93"/>
      <c r="J507" s="90">
        <v>18000</v>
      </c>
      <c r="K507" s="93"/>
      <c r="L507" s="90">
        <v>22000</v>
      </c>
      <c r="M507" s="93"/>
      <c r="N507" s="90">
        <v>51000</v>
      </c>
      <c r="O507" s="93"/>
      <c r="P507" s="90">
        <v>24000</v>
      </c>
      <c r="Q507" s="93"/>
      <c r="R507" s="90">
        <v>4000</v>
      </c>
    </row>
    <row r="508" spans="1:18" x14ac:dyDescent="0.15">
      <c r="C508" s="52" t="s">
        <v>212</v>
      </c>
      <c r="D508" s="52"/>
      <c r="E508" s="91"/>
      <c r="F508" s="75">
        <f>SUM(H508:L508)</f>
        <v>256000</v>
      </c>
      <c r="G508" s="92"/>
      <c r="H508" s="90">
        <v>136000</v>
      </c>
      <c r="I508" s="93"/>
      <c r="J508" s="90">
        <v>2000</v>
      </c>
      <c r="K508" s="93"/>
      <c r="L508" s="90">
        <v>118000</v>
      </c>
      <c r="M508" s="93"/>
      <c r="N508" s="90">
        <v>154000</v>
      </c>
      <c r="O508" s="93"/>
      <c r="P508" s="90">
        <v>102000</v>
      </c>
      <c r="Q508" s="93"/>
      <c r="R508" s="90">
        <v>0</v>
      </c>
    </row>
    <row r="509" spans="1:18" x14ac:dyDescent="0.15">
      <c r="C509" s="52" t="s">
        <v>213</v>
      </c>
      <c r="D509" s="52"/>
      <c r="E509" s="91"/>
      <c r="G509" s="92"/>
      <c r="H509" s="90"/>
      <c r="I509" s="93"/>
      <c r="J509" s="90"/>
      <c r="K509" s="93"/>
      <c r="L509" s="90"/>
      <c r="M509" s="93"/>
      <c r="N509" s="90"/>
      <c r="O509" s="93"/>
      <c r="P509" s="90"/>
      <c r="Q509" s="93"/>
      <c r="R509" s="90"/>
    </row>
    <row r="510" spans="1:18" x14ac:dyDescent="0.15">
      <c r="C510" s="52"/>
      <c r="D510" s="52"/>
      <c r="E510" s="91" t="s">
        <v>214</v>
      </c>
      <c r="F510" s="75">
        <f>SUM(H510:L510)</f>
        <v>161000</v>
      </c>
      <c r="H510" s="86">
        <v>43000</v>
      </c>
      <c r="J510" s="86">
        <v>21000</v>
      </c>
      <c r="L510" s="86">
        <v>97000</v>
      </c>
      <c r="N510" s="86">
        <v>28000</v>
      </c>
      <c r="P510" s="86">
        <v>133000</v>
      </c>
      <c r="R510" s="86">
        <v>0</v>
      </c>
    </row>
    <row r="511" spans="1:18" x14ac:dyDescent="0.15">
      <c r="C511" s="52" t="s">
        <v>216</v>
      </c>
      <c r="D511" s="52"/>
      <c r="E511" s="91"/>
      <c r="F511" s="75">
        <f t="shared" ref="F511:F530" si="17">SUM(H511:L511)</f>
        <v>595000</v>
      </c>
      <c r="G511" s="92"/>
      <c r="H511" s="90">
        <v>195000</v>
      </c>
      <c r="I511" s="93"/>
      <c r="J511" s="90">
        <v>353000</v>
      </c>
      <c r="K511" s="93"/>
      <c r="L511" s="90">
        <v>47000</v>
      </c>
      <c r="M511" s="93"/>
      <c r="N511" s="90">
        <v>347000</v>
      </c>
      <c r="O511" s="93"/>
      <c r="P511" s="90">
        <v>248000</v>
      </c>
      <c r="Q511" s="93"/>
      <c r="R511" s="90">
        <v>0</v>
      </c>
    </row>
    <row r="512" spans="1:18" x14ac:dyDescent="0.15">
      <c r="C512" s="52" t="s">
        <v>217</v>
      </c>
      <c r="D512" s="52"/>
      <c r="E512" s="91"/>
      <c r="F512" s="75">
        <f t="shared" si="17"/>
        <v>0</v>
      </c>
      <c r="G512" s="92"/>
      <c r="H512" s="90">
        <v>0</v>
      </c>
      <c r="I512" s="93"/>
      <c r="J512" s="90">
        <v>0</v>
      </c>
      <c r="K512" s="93"/>
      <c r="L512" s="90">
        <v>0</v>
      </c>
      <c r="M512" s="93"/>
      <c r="N512" s="90">
        <v>2000</v>
      </c>
      <c r="O512" s="93"/>
      <c r="P512" s="90">
        <v>-2000</v>
      </c>
      <c r="Q512" s="93"/>
      <c r="R512" s="90">
        <v>0</v>
      </c>
    </row>
    <row r="513" spans="3:18" x14ac:dyDescent="0.15">
      <c r="C513" s="52" t="s">
        <v>218</v>
      </c>
      <c r="D513" s="52"/>
      <c r="E513" s="91"/>
      <c r="F513" s="75">
        <f t="shared" si="17"/>
        <v>1476000</v>
      </c>
      <c r="G513" s="92"/>
      <c r="H513" s="90">
        <v>1314000</v>
      </c>
      <c r="I513" s="93"/>
      <c r="J513" s="90">
        <v>87000</v>
      </c>
      <c r="K513" s="93"/>
      <c r="L513" s="90">
        <v>75000</v>
      </c>
      <c r="M513" s="93"/>
      <c r="N513" s="90">
        <v>981000</v>
      </c>
      <c r="O513" s="93"/>
      <c r="P513" s="90">
        <v>495000</v>
      </c>
      <c r="Q513" s="93"/>
      <c r="R513" s="90">
        <v>0</v>
      </c>
    </row>
    <row r="514" spans="3:18" x14ac:dyDescent="0.15">
      <c r="C514" s="52" t="s">
        <v>219</v>
      </c>
      <c r="D514" s="52"/>
      <c r="E514" s="91"/>
      <c r="F514" s="75">
        <f t="shared" si="17"/>
        <v>0</v>
      </c>
      <c r="G514" s="92"/>
      <c r="H514" s="90">
        <v>0</v>
      </c>
      <c r="I514" s="93"/>
      <c r="J514" s="90">
        <v>0</v>
      </c>
      <c r="K514" s="93"/>
      <c r="L514" s="90">
        <v>0</v>
      </c>
      <c r="M514" s="93"/>
      <c r="N514" s="90">
        <v>0</v>
      </c>
      <c r="O514" s="93"/>
      <c r="P514" s="90">
        <v>0</v>
      </c>
      <c r="Q514" s="93"/>
      <c r="R514" s="90">
        <v>0</v>
      </c>
    </row>
    <row r="515" spans="3:18" x14ac:dyDescent="0.15">
      <c r="C515" s="52" t="s">
        <v>220</v>
      </c>
      <c r="D515" s="52"/>
      <c r="E515" s="91"/>
      <c r="F515" s="75">
        <f t="shared" si="17"/>
        <v>2379000</v>
      </c>
      <c r="G515" s="92"/>
      <c r="H515" s="90">
        <v>1745000</v>
      </c>
      <c r="I515" s="93"/>
      <c r="J515" s="90">
        <v>484000</v>
      </c>
      <c r="K515" s="93"/>
      <c r="L515" s="90">
        <v>150000</v>
      </c>
      <c r="M515" s="93"/>
      <c r="N515" s="90">
        <v>1534000</v>
      </c>
      <c r="O515" s="93"/>
      <c r="P515" s="90">
        <v>845000</v>
      </c>
      <c r="Q515" s="93"/>
      <c r="R515" s="90">
        <v>0</v>
      </c>
    </row>
    <row r="516" spans="3:18" x14ac:dyDescent="0.15">
      <c r="C516" s="52" t="s">
        <v>221</v>
      </c>
      <c r="D516" s="52"/>
      <c r="E516" s="91"/>
      <c r="F516" s="75">
        <f t="shared" si="17"/>
        <v>-7000</v>
      </c>
      <c r="G516" s="92"/>
      <c r="H516" s="90">
        <v>0</v>
      </c>
      <c r="I516" s="93"/>
      <c r="J516" s="90">
        <v>-12000</v>
      </c>
      <c r="K516" s="93"/>
      <c r="L516" s="90">
        <v>5000</v>
      </c>
      <c r="M516" s="93"/>
      <c r="N516" s="90">
        <v>0</v>
      </c>
      <c r="O516" s="93"/>
      <c r="P516" s="90">
        <v>-7000</v>
      </c>
      <c r="Q516" s="93"/>
      <c r="R516" s="90">
        <v>0</v>
      </c>
    </row>
    <row r="517" spans="3:18" x14ac:dyDescent="0.15">
      <c r="C517" s="52" t="s">
        <v>222</v>
      </c>
      <c r="D517" s="52"/>
      <c r="E517" s="91"/>
      <c r="G517" s="92"/>
      <c r="H517" s="90"/>
      <c r="I517" s="93"/>
      <c r="J517" s="90"/>
      <c r="K517" s="93"/>
      <c r="L517" s="90"/>
      <c r="M517" s="93"/>
      <c r="N517" s="90"/>
      <c r="O517" s="93"/>
      <c r="P517" s="90"/>
      <c r="Q517" s="93"/>
      <c r="R517" s="90">
        <v>0</v>
      </c>
    </row>
    <row r="518" spans="3:18" x14ac:dyDescent="0.15">
      <c r="C518" s="52"/>
      <c r="D518" s="52"/>
      <c r="E518" s="91" t="s">
        <v>223</v>
      </c>
      <c r="F518" s="75">
        <f t="shared" si="17"/>
        <v>3000</v>
      </c>
      <c r="G518" s="92"/>
      <c r="H518" s="90">
        <v>0</v>
      </c>
      <c r="I518" s="93"/>
      <c r="J518" s="90">
        <v>6000</v>
      </c>
      <c r="K518" s="93"/>
      <c r="L518" s="90">
        <v>-3000</v>
      </c>
      <c r="M518" s="93"/>
      <c r="N518" s="90">
        <v>1000</v>
      </c>
      <c r="O518" s="93"/>
      <c r="P518" s="90">
        <v>2000</v>
      </c>
      <c r="Q518" s="93"/>
      <c r="R518" s="90">
        <v>0</v>
      </c>
    </row>
    <row r="519" spans="3:18" x14ac:dyDescent="0.15">
      <c r="C519" s="52" t="s">
        <v>224</v>
      </c>
      <c r="D519" s="52"/>
      <c r="E519" s="91"/>
      <c r="F519" s="75">
        <f t="shared" si="17"/>
        <v>2000</v>
      </c>
      <c r="G519" s="92"/>
      <c r="H519" s="90">
        <v>0</v>
      </c>
      <c r="I519" s="93"/>
      <c r="J519" s="90">
        <v>0</v>
      </c>
      <c r="K519" s="93"/>
      <c r="L519" s="90">
        <v>2000</v>
      </c>
      <c r="M519" s="93"/>
      <c r="N519" s="90">
        <v>0</v>
      </c>
      <c r="O519" s="93"/>
      <c r="P519" s="90">
        <v>2000</v>
      </c>
      <c r="Q519" s="93"/>
      <c r="R519" s="90">
        <v>0</v>
      </c>
    </row>
    <row r="520" spans="3:18" x14ac:dyDescent="0.15">
      <c r="C520" s="52" t="s">
        <v>227</v>
      </c>
      <c r="D520" s="52"/>
      <c r="E520" s="91"/>
      <c r="G520" s="92"/>
      <c r="H520" s="90"/>
      <c r="I520" s="93"/>
      <c r="J520" s="90"/>
      <c r="K520" s="93"/>
      <c r="L520" s="90"/>
      <c r="M520" s="93"/>
      <c r="N520" s="90"/>
      <c r="O520" s="93"/>
      <c r="P520" s="90"/>
      <c r="Q520" s="93"/>
      <c r="R520" s="90"/>
    </row>
    <row r="521" spans="3:18" x14ac:dyDescent="0.15">
      <c r="C521" s="52"/>
      <c r="D521" s="52"/>
      <c r="E521" s="91" t="s">
        <v>51</v>
      </c>
      <c r="F521" s="75">
        <f t="shared" si="17"/>
        <v>100000</v>
      </c>
      <c r="G521" s="92"/>
      <c r="H521" s="90">
        <v>0</v>
      </c>
      <c r="I521" s="93"/>
      <c r="J521" s="90">
        <v>0</v>
      </c>
      <c r="K521" s="93"/>
      <c r="L521" s="90">
        <v>100000</v>
      </c>
      <c r="M521" s="93"/>
      <c r="N521" s="90">
        <v>0</v>
      </c>
      <c r="O521" s="93"/>
      <c r="P521" s="90">
        <v>100000</v>
      </c>
      <c r="Q521" s="93"/>
      <c r="R521" s="90">
        <v>0</v>
      </c>
    </row>
    <row r="522" spans="3:18" x14ac:dyDescent="0.15">
      <c r="C522" s="52" t="s">
        <v>228</v>
      </c>
      <c r="D522" s="52"/>
      <c r="E522" s="91"/>
      <c r="F522" s="75">
        <f t="shared" si="17"/>
        <v>1000</v>
      </c>
      <c r="G522" s="92"/>
      <c r="H522" s="90">
        <v>0</v>
      </c>
      <c r="I522" s="93"/>
      <c r="J522" s="90">
        <v>0</v>
      </c>
      <c r="K522" s="93"/>
      <c r="L522" s="90">
        <v>1000</v>
      </c>
      <c r="M522" s="93"/>
      <c r="N522" s="90">
        <v>0</v>
      </c>
      <c r="O522" s="93"/>
      <c r="P522" s="90">
        <v>1000</v>
      </c>
      <c r="Q522" s="93"/>
      <c r="R522" s="90">
        <v>0</v>
      </c>
    </row>
    <row r="523" spans="3:18" x14ac:dyDescent="0.15">
      <c r="C523" s="52" t="s">
        <v>229</v>
      </c>
      <c r="D523" s="52"/>
      <c r="E523" s="91"/>
      <c r="G523" s="92"/>
      <c r="H523" s="90"/>
      <c r="I523" s="93"/>
      <c r="J523" s="90"/>
      <c r="K523" s="93"/>
      <c r="L523" s="90"/>
      <c r="M523" s="93"/>
      <c r="N523" s="90"/>
      <c r="O523" s="93"/>
      <c r="P523" s="90"/>
      <c r="Q523" s="93"/>
      <c r="R523" s="90">
        <v>0</v>
      </c>
    </row>
    <row r="524" spans="3:18" x14ac:dyDescent="0.15">
      <c r="C524" s="52"/>
      <c r="D524" s="52"/>
      <c r="E524" s="91" t="s">
        <v>230</v>
      </c>
      <c r="F524" s="75">
        <f t="shared" si="17"/>
        <v>231000</v>
      </c>
      <c r="G524" s="92"/>
      <c r="H524" s="90">
        <v>2000</v>
      </c>
      <c r="I524" s="93"/>
      <c r="J524" s="90">
        <v>1000</v>
      </c>
      <c r="K524" s="93"/>
      <c r="L524" s="90">
        <v>228000</v>
      </c>
      <c r="M524" s="93"/>
      <c r="N524" s="90">
        <v>110000</v>
      </c>
      <c r="O524" s="93"/>
      <c r="P524" s="90">
        <v>121000</v>
      </c>
      <c r="Q524" s="93"/>
      <c r="R524" s="90">
        <v>0</v>
      </c>
    </row>
    <row r="525" spans="3:18" x14ac:dyDescent="0.15">
      <c r="C525" s="52" t="s">
        <v>233</v>
      </c>
      <c r="D525" s="52"/>
      <c r="E525" s="91"/>
      <c r="F525" s="75">
        <f t="shared" si="17"/>
        <v>5000</v>
      </c>
      <c r="G525" s="92"/>
      <c r="H525" s="90">
        <v>0</v>
      </c>
      <c r="I525" s="93"/>
      <c r="J525" s="90">
        <v>5000</v>
      </c>
      <c r="K525" s="93"/>
      <c r="L525" s="90">
        <v>0</v>
      </c>
      <c r="M525" s="93"/>
      <c r="N525" s="90">
        <v>0</v>
      </c>
      <c r="O525" s="93"/>
      <c r="P525" s="90">
        <v>5000</v>
      </c>
      <c r="Q525" s="93"/>
      <c r="R525" s="90">
        <v>0</v>
      </c>
    </row>
    <row r="526" spans="3:18" x14ac:dyDescent="0.15">
      <c r="C526" s="52" t="s">
        <v>234</v>
      </c>
      <c r="D526" s="52"/>
      <c r="E526" s="91"/>
      <c r="F526" s="75">
        <f t="shared" si="17"/>
        <v>-13608000</v>
      </c>
      <c r="G526" s="92"/>
      <c r="H526" s="90">
        <v>124206000</v>
      </c>
      <c r="I526" s="93"/>
      <c r="J526" s="90">
        <v>-150636000</v>
      </c>
      <c r="K526" s="93"/>
      <c r="L526" s="90">
        <v>12822000</v>
      </c>
      <c r="M526" s="93"/>
      <c r="N526" s="90">
        <v>982000</v>
      </c>
      <c r="O526" s="93"/>
      <c r="P526" s="90">
        <v>-14584000</v>
      </c>
      <c r="Q526" s="93"/>
      <c r="R526" s="90">
        <v>6000</v>
      </c>
    </row>
    <row r="527" spans="3:18" x14ac:dyDescent="0.15">
      <c r="C527" s="52" t="s">
        <v>235</v>
      </c>
      <c r="D527" s="52"/>
      <c r="E527" s="91"/>
      <c r="F527" s="75">
        <f t="shared" si="17"/>
        <v>2000</v>
      </c>
      <c r="G527" s="92"/>
      <c r="H527" s="90">
        <v>0</v>
      </c>
      <c r="I527" s="93"/>
      <c r="J527" s="90">
        <v>2000</v>
      </c>
      <c r="K527" s="93"/>
      <c r="L527" s="90">
        <v>0</v>
      </c>
      <c r="M527" s="93"/>
      <c r="N527" s="90">
        <v>0</v>
      </c>
      <c r="O527" s="93"/>
      <c r="P527" s="90">
        <v>2000</v>
      </c>
      <c r="Q527" s="93"/>
      <c r="R527" s="90">
        <v>0</v>
      </c>
    </row>
    <row r="528" spans="3:18" x14ac:dyDescent="0.15">
      <c r="C528" s="52" t="s">
        <v>236</v>
      </c>
      <c r="D528" s="52"/>
      <c r="E528" s="91"/>
      <c r="F528" s="75">
        <f t="shared" si="17"/>
        <v>61000</v>
      </c>
      <c r="G528" s="92"/>
      <c r="H528" s="90">
        <v>0</v>
      </c>
      <c r="I528" s="93"/>
      <c r="J528" s="90">
        <v>0</v>
      </c>
      <c r="K528" s="93"/>
      <c r="L528" s="90">
        <v>61000</v>
      </c>
      <c r="M528" s="93"/>
      <c r="N528" s="90">
        <v>0</v>
      </c>
      <c r="O528" s="93"/>
      <c r="P528" s="90">
        <v>61000</v>
      </c>
      <c r="Q528" s="93"/>
      <c r="R528" s="90">
        <v>0</v>
      </c>
    </row>
    <row r="529" spans="1:18" x14ac:dyDescent="0.15">
      <c r="C529" s="52" t="s">
        <v>239</v>
      </c>
      <c r="D529" s="52"/>
      <c r="E529" s="91"/>
      <c r="F529" s="75">
        <f t="shared" si="17"/>
        <v>2000</v>
      </c>
      <c r="G529" s="92"/>
      <c r="H529" s="90">
        <v>2000</v>
      </c>
      <c r="I529" s="93"/>
      <c r="J529" s="90">
        <v>0</v>
      </c>
      <c r="K529" s="93"/>
      <c r="L529" s="90">
        <v>0</v>
      </c>
      <c r="M529" s="93"/>
      <c r="N529" s="90">
        <v>0</v>
      </c>
      <c r="O529" s="93"/>
      <c r="P529" s="90">
        <v>2000</v>
      </c>
      <c r="Q529" s="93"/>
      <c r="R529" s="90">
        <v>0</v>
      </c>
    </row>
    <row r="530" spans="1:18" x14ac:dyDescent="0.15">
      <c r="B530" s="86"/>
      <c r="C530" s="52" t="s">
        <v>240</v>
      </c>
      <c r="D530" s="52"/>
      <c r="E530" s="53"/>
      <c r="F530" s="75">
        <f t="shared" si="17"/>
        <v>182000</v>
      </c>
      <c r="G530" s="92"/>
      <c r="H530" s="90">
        <v>2000</v>
      </c>
      <c r="I530" s="93"/>
      <c r="J530" s="90">
        <v>180000</v>
      </c>
      <c r="K530" s="93"/>
      <c r="L530" s="90">
        <v>0</v>
      </c>
      <c r="M530" s="93"/>
      <c r="N530" s="90">
        <v>36000</v>
      </c>
      <c r="O530" s="93"/>
      <c r="P530" s="90">
        <v>146000</v>
      </c>
      <c r="Q530" s="93"/>
      <c r="R530" s="90">
        <v>0</v>
      </c>
    </row>
    <row r="531" spans="1:18" x14ac:dyDescent="0.15">
      <c r="C531" s="52" t="s">
        <v>241</v>
      </c>
      <c r="D531" s="52"/>
      <c r="E531" s="91"/>
      <c r="F531" s="75">
        <f>SUM(H531:L531)</f>
        <v>71000</v>
      </c>
      <c r="G531" s="92"/>
      <c r="H531" s="90">
        <v>0</v>
      </c>
      <c r="I531" s="93"/>
      <c r="J531" s="90">
        <v>0</v>
      </c>
      <c r="K531" s="93"/>
      <c r="L531" s="90">
        <v>71000</v>
      </c>
      <c r="M531" s="93"/>
      <c r="N531" s="90">
        <v>74000</v>
      </c>
      <c r="O531" s="93"/>
      <c r="P531" s="90">
        <v>-3000</v>
      </c>
      <c r="Q531" s="93"/>
      <c r="R531" s="90">
        <v>0</v>
      </c>
    </row>
    <row r="532" spans="1:18" x14ac:dyDescent="0.15">
      <c r="C532" s="52" t="s">
        <v>242</v>
      </c>
      <c r="D532" s="52"/>
      <c r="E532" s="91"/>
      <c r="G532" s="69"/>
      <c r="H532" s="90"/>
      <c r="I532" s="90"/>
      <c r="J532" s="90"/>
      <c r="K532" s="90"/>
      <c r="L532" s="90"/>
      <c r="M532" s="90"/>
      <c r="N532" s="90"/>
      <c r="O532" s="90"/>
      <c r="P532" s="90"/>
      <c r="Q532" s="90"/>
      <c r="R532" s="90"/>
    </row>
    <row r="533" spans="1:18" x14ac:dyDescent="0.15">
      <c r="E533" s="52" t="s">
        <v>243</v>
      </c>
      <c r="F533" s="75">
        <f t="shared" ref="F533:F534" si="18">SUM(H533:L533)</f>
        <v>98000</v>
      </c>
      <c r="G533" s="92"/>
      <c r="H533" s="90">
        <v>24000</v>
      </c>
      <c r="I533" s="93"/>
      <c r="J533" s="90">
        <v>70000</v>
      </c>
      <c r="K533" s="93"/>
      <c r="L533" s="90">
        <v>4000</v>
      </c>
      <c r="M533" s="93"/>
      <c r="N533" s="90">
        <v>59000</v>
      </c>
      <c r="O533" s="93"/>
      <c r="P533" s="90">
        <v>39000</v>
      </c>
      <c r="Q533" s="93"/>
      <c r="R533" s="90">
        <v>0</v>
      </c>
    </row>
    <row r="534" spans="1:18" x14ac:dyDescent="0.15">
      <c r="C534" s="52" t="s">
        <v>244</v>
      </c>
      <c r="D534" s="52"/>
      <c r="E534" s="91"/>
      <c r="F534" s="75">
        <f t="shared" si="18"/>
        <v>519000</v>
      </c>
      <c r="G534" s="92"/>
      <c r="H534" s="90">
        <v>5000</v>
      </c>
      <c r="I534" s="93"/>
      <c r="J534" s="90">
        <v>249000</v>
      </c>
      <c r="K534" s="93"/>
      <c r="L534" s="90">
        <v>265000</v>
      </c>
      <c r="M534" s="93"/>
      <c r="N534" s="90">
        <v>389000</v>
      </c>
      <c r="O534" s="93"/>
      <c r="P534" s="90">
        <v>130000</v>
      </c>
      <c r="Q534" s="93"/>
      <c r="R534" s="90">
        <v>0</v>
      </c>
    </row>
    <row r="535" spans="1:18" x14ac:dyDescent="0.15">
      <c r="C535" s="52" t="s">
        <v>245</v>
      </c>
      <c r="D535" s="52"/>
      <c r="E535" s="91"/>
      <c r="F535" s="94">
        <f>SUM(H535:L535)</f>
        <v>0</v>
      </c>
      <c r="G535" s="69"/>
      <c r="H535" s="95">
        <v>-353064000</v>
      </c>
      <c r="I535" s="90"/>
      <c r="J535" s="95">
        <v>353064000</v>
      </c>
      <c r="K535" s="90"/>
      <c r="L535" s="95">
        <v>0</v>
      </c>
      <c r="M535" s="90"/>
      <c r="N535" s="95">
        <v>0</v>
      </c>
      <c r="O535" s="90"/>
      <c r="P535" s="95">
        <v>0</v>
      </c>
      <c r="Q535" s="90"/>
      <c r="R535" s="95">
        <v>0</v>
      </c>
    </row>
    <row r="536" spans="1:18" x14ac:dyDescent="0.15"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</row>
    <row r="537" spans="1:18" x14ac:dyDescent="0.15">
      <c r="E537" s="52" t="s">
        <v>3</v>
      </c>
      <c r="F537" s="94">
        <f>SUM(H537:L537)</f>
        <v>-7400000</v>
      </c>
      <c r="G537" s="69"/>
      <c r="H537" s="94">
        <f>SUM(H506:H536)</f>
        <v>-225359000</v>
      </c>
      <c r="I537" s="75"/>
      <c r="J537" s="94">
        <f>SUM(J506:J536)</f>
        <v>203894000</v>
      </c>
      <c r="K537" s="75"/>
      <c r="L537" s="94">
        <f>SUM(L506:L536)</f>
        <v>14065000</v>
      </c>
      <c r="M537" s="75"/>
      <c r="N537" s="94">
        <f>SUM(N506:N536)</f>
        <v>4748000</v>
      </c>
      <c r="O537" s="75"/>
      <c r="P537" s="94">
        <f>SUM(P506:P536)</f>
        <v>-12138000</v>
      </c>
      <c r="Q537" s="75"/>
      <c r="R537" s="94">
        <f>SUM(R506:R536)</f>
        <v>10000</v>
      </c>
    </row>
    <row r="538" spans="1:18" x14ac:dyDescent="0.15">
      <c r="A538" s="88"/>
      <c r="B538" s="88"/>
      <c r="C538" s="88"/>
      <c r="D538" s="88"/>
      <c r="E538" s="88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</row>
    <row r="539" spans="1:18" x14ac:dyDescent="0.15">
      <c r="B539" s="53" t="s">
        <v>24</v>
      </c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</row>
    <row r="540" spans="1:18" x14ac:dyDescent="0.15">
      <c r="C540" s="52" t="s">
        <v>246</v>
      </c>
      <c r="D540" s="52"/>
      <c r="E540" s="91"/>
      <c r="F540" s="75">
        <f>SUM(H540:L540)</f>
        <v>11000</v>
      </c>
      <c r="G540" s="92"/>
      <c r="H540" s="90">
        <v>0</v>
      </c>
      <c r="I540" s="93"/>
      <c r="J540" s="90">
        <v>11000</v>
      </c>
      <c r="K540" s="93"/>
      <c r="L540" s="90">
        <v>0</v>
      </c>
      <c r="M540" s="93"/>
      <c r="N540" s="90">
        <v>8000</v>
      </c>
      <c r="O540" s="93"/>
      <c r="P540" s="90">
        <v>3000</v>
      </c>
      <c r="Q540" s="93"/>
      <c r="R540" s="90">
        <v>0</v>
      </c>
    </row>
    <row r="541" spans="1:18" x14ac:dyDescent="0.15">
      <c r="C541" s="52" t="s">
        <v>210</v>
      </c>
      <c r="D541" s="52"/>
      <c r="E541" s="91"/>
      <c r="F541" s="75">
        <f>SUM(H541:L541)</f>
        <v>474000</v>
      </c>
      <c r="G541" s="92"/>
      <c r="H541" s="90">
        <v>190000</v>
      </c>
      <c r="I541" s="93"/>
      <c r="J541" s="90">
        <v>30000</v>
      </c>
      <c r="K541" s="93"/>
      <c r="L541" s="90">
        <v>254000</v>
      </c>
      <c r="M541" s="93"/>
      <c r="N541" s="90">
        <v>273000</v>
      </c>
      <c r="O541" s="93"/>
      <c r="P541" s="90">
        <v>202000</v>
      </c>
      <c r="Q541" s="93"/>
      <c r="R541" s="90">
        <v>1000</v>
      </c>
    </row>
    <row r="542" spans="1:18" x14ac:dyDescent="0.15">
      <c r="C542" s="52" t="s">
        <v>247</v>
      </c>
      <c r="D542" s="52"/>
      <c r="E542" s="91"/>
      <c r="F542" s="75">
        <f>SUM(H542:L542)</f>
        <v>169000</v>
      </c>
      <c r="G542" s="92"/>
      <c r="H542" s="90">
        <v>112000</v>
      </c>
      <c r="I542" s="93"/>
      <c r="J542" s="90">
        <v>9000</v>
      </c>
      <c r="K542" s="93"/>
      <c r="L542" s="90">
        <v>48000</v>
      </c>
      <c r="M542" s="93"/>
      <c r="N542" s="90">
        <v>96000</v>
      </c>
      <c r="O542" s="93"/>
      <c r="P542" s="90">
        <v>73000</v>
      </c>
      <c r="Q542" s="93"/>
      <c r="R542" s="90">
        <v>0</v>
      </c>
    </row>
    <row r="543" spans="1:18" x14ac:dyDescent="0.15">
      <c r="C543" s="52" t="s">
        <v>248</v>
      </c>
      <c r="D543" s="52"/>
      <c r="E543" s="91"/>
      <c r="G543" s="69"/>
      <c r="H543" s="90"/>
      <c r="I543" s="90"/>
      <c r="J543" s="90"/>
      <c r="K543" s="90"/>
      <c r="L543" s="90"/>
      <c r="M543" s="90"/>
      <c r="N543" s="90"/>
      <c r="O543" s="90"/>
      <c r="P543" s="90"/>
      <c r="Q543" s="90"/>
      <c r="R543" s="90"/>
    </row>
    <row r="544" spans="1:18" x14ac:dyDescent="0.15">
      <c r="C544" s="86"/>
      <c r="D544" s="52"/>
      <c r="E544" s="52" t="s">
        <v>249</v>
      </c>
      <c r="F544" s="75">
        <f>SUM(H544:L544)</f>
        <v>50000</v>
      </c>
      <c r="G544" s="92"/>
      <c r="H544" s="90">
        <v>49000</v>
      </c>
      <c r="I544" s="93"/>
      <c r="J544" s="90">
        <v>0</v>
      </c>
      <c r="K544" s="93"/>
      <c r="L544" s="90">
        <v>1000</v>
      </c>
      <c r="M544" s="93"/>
      <c r="N544" s="90">
        <v>32000</v>
      </c>
      <c r="O544" s="93"/>
      <c r="P544" s="90">
        <v>18000</v>
      </c>
      <c r="Q544" s="93"/>
      <c r="R544" s="90">
        <v>0</v>
      </c>
    </row>
    <row r="545" spans="3:18" x14ac:dyDescent="0.15">
      <c r="C545" s="52" t="s">
        <v>211</v>
      </c>
      <c r="D545" s="52"/>
      <c r="E545" s="91"/>
      <c r="F545" s="75">
        <f>SUM(H545:L545)</f>
        <v>3987000</v>
      </c>
      <c r="G545" s="92"/>
      <c r="H545" s="90">
        <v>716000</v>
      </c>
      <c r="I545" s="93"/>
      <c r="J545" s="90">
        <v>-6000</v>
      </c>
      <c r="K545" s="93"/>
      <c r="L545" s="90">
        <v>3277000</v>
      </c>
      <c r="M545" s="93"/>
      <c r="N545" s="90">
        <v>2125000</v>
      </c>
      <c r="O545" s="93"/>
      <c r="P545" s="90">
        <v>1956000</v>
      </c>
      <c r="Q545" s="93"/>
      <c r="R545" s="90">
        <v>94000</v>
      </c>
    </row>
    <row r="546" spans="3:18" x14ac:dyDescent="0.15">
      <c r="C546" s="52" t="s">
        <v>250</v>
      </c>
      <c r="D546" s="52"/>
      <c r="E546" s="91"/>
      <c r="F546" s="75">
        <f>SUM(H546:L546)</f>
        <v>827000</v>
      </c>
      <c r="G546" s="92"/>
      <c r="H546" s="90">
        <v>4000</v>
      </c>
      <c r="I546" s="93"/>
      <c r="J546" s="90">
        <v>669000</v>
      </c>
      <c r="K546" s="93"/>
      <c r="L546" s="90">
        <v>154000</v>
      </c>
      <c r="M546" s="93"/>
      <c r="N546" s="90">
        <v>386000</v>
      </c>
      <c r="O546" s="93"/>
      <c r="P546" s="90">
        <v>441000</v>
      </c>
      <c r="Q546" s="93"/>
      <c r="R546" s="90">
        <v>0</v>
      </c>
    </row>
    <row r="547" spans="3:18" x14ac:dyDescent="0.15">
      <c r="C547" s="52" t="s">
        <v>251</v>
      </c>
      <c r="D547" s="52"/>
      <c r="E547" s="91"/>
      <c r="F547" s="75">
        <f>SUM(H547:L547)</f>
        <v>244000</v>
      </c>
      <c r="G547" s="92"/>
      <c r="H547" s="90">
        <v>218000</v>
      </c>
      <c r="I547" s="93"/>
      <c r="J547" s="90">
        <v>-7000</v>
      </c>
      <c r="K547" s="93"/>
      <c r="L547" s="90">
        <v>33000</v>
      </c>
      <c r="M547" s="93"/>
      <c r="N547" s="90">
        <v>181000</v>
      </c>
      <c r="O547" s="93"/>
      <c r="P547" s="90">
        <v>68000</v>
      </c>
      <c r="Q547" s="93"/>
      <c r="R547" s="90">
        <v>5000</v>
      </c>
    </row>
    <row r="548" spans="3:18" x14ac:dyDescent="0.15">
      <c r="C548" s="52" t="s">
        <v>252</v>
      </c>
      <c r="D548" s="52"/>
      <c r="E548" s="91"/>
      <c r="F548" s="75">
        <f>SUM(H548:L548)</f>
        <v>276000</v>
      </c>
      <c r="G548" s="92"/>
      <c r="H548" s="90">
        <v>116000</v>
      </c>
      <c r="I548" s="93"/>
      <c r="J548" s="90">
        <v>12000</v>
      </c>
      <c r="K548" s="93"/>
      <c r="L548" s="90">
        <v>148000</v>
      </c>
      <c r="M548" s="93"/>
      <c r="N548" s="90">
        <v>114000</v>
      </c>
      <c r="O548" s="93"/>
      <c r="P548" s="90">
        <v>183000</v>
      </c>
      <c r="Q548" s="93"/>
      <c r="R548" s="90">
        <v>21000</v>
      </c>
    </row>
    <row r="549" spans="3:18" x14ac:dyDescent="0.15">
      <c r="C549" s="52" t="s">
        <v>253</v>
      </c>
      <c r="D549" s="52"/>
      <c r="E549" s="91"/>
      <c r="G549" s="92"/>
      <c r="H549" s="90"/>
      <c r="I549" s="93"/>
      <c r="J549" s="90"/>
      <c r="K549" s="93"/>
      <c r="L549" s="90"/>
      <c r="M549" s="93"/>
      <c r="N549" s="90"/>
      <c r="O549" s="93"/>
      <c r="P549" s="90"/>
      <c r="Q549" s="93"/>
      <c r="R549" s="90"/>
    </row>
    <row r="550" spans="3:18" x14ac:dyDescent="0.15">
      <c r="C550" s="52"/>
      <c r="D550" s="52"/>
      <c r="E550" s="91" t="s">
        <v>254</v>
      </c>
      <c r="F550" s="75">
        <f>SUM(H550:L550)</f>
        <v>4634000</v>
      </c>
      <c r="G550" s="92"/>
      <c r="H550" s="90">
        <v>77000</v>
      </c>
      <c r="I550" s="93"/>
      <c r="J550" s="90">
        <v>842000</v>
      </c>
      <c r="K550" s="93"/>
      <c r="L550" s="90">
        <v>3715000</v>
      </c>
      <c r="M550" s="93"/>
      <c r="N550" s="90">
        <v>1052000</v>
      </c>
      <c r="O550" s="93"/>
      <c r="P550" s="90">
        <v>3582000</v>
      </c>
      <c r="Q550" s="93"/>
      <c r="R550" s="90">
        <v>0</v>
      </c>
    </row>
    <row r="551" spans="3:18" x14ac:dyDescent="0.15">
      <c r="C551" s="52" t="s">
        <v>213</v>
      </c>
      <c r="D551" s="52"/>
      <c r="E551" s="91"/>
      <c r="G551" s="92"/>
      <c r="H551" s="90"/>
      <c r="I551" s="93"/>
      <c r="J551" s="90"/>
      <c r="K551" s="93"/>
      <c r="L551" s="90"/>
      <c r="M551" s="93"/>
      <c r="N551" s="90"/>
      <c r="O551" s="93"/>
      <c r="P551" s="90"/>
      <c r="Q551" s="93"/>
      <c r="R551" s="90"/>
    </row>
    <row r="552" spans="3:18" x14ac:dyDescent="0.15">
      <c r="C552" s="52"/>
      <c r="D552" s="52"/>
      <c r="E552" s="91" t="s">
        <v>214</v>
      </c>
      <c r="F552" s="75">
        <f>SUM(H552:L552)</f>
        <v>33397000</v>
      </c>
      <c r="G552" s="92"/>
      <c r="H552" s="90">
        <v>1709000</v>
      </c>
      <c r="I552" s="93"/>
      <c r="J552" s="90">
        <v>3276000</v>
      </c>
      <c r="K552" s="93"/>
      <c r="L552" s="90">
        <v>28412000</v>
      </c>
      <c r="M552" s="93"/>
      <c r="N552" s="90">
        <v>14849000</v>
      </c>
      <c r="O552" s="93"/>
      <c r="P552" s="90">
        <v>18548000</v>
      </c>
      <c r="Q552" s="93"/>
      <c r="R552" s="90">
        <v>0</v>
      </c>
    </row>
    <row r="553" spans="3:18" x14ac:dyDescent="0.15">
      <c r="C553" s="52" t="s">
        <v>215</v>
      </c>
      <c r="D553" s="52"/>
      <c r="E553" s="91"/>
      <c r="F553" s="75">
        <f>SUM(H553:L553)</f>
        <v>739000</v>
      </c>
      <c r="G553" s="92"/>
      <c r="H553" s="90">
        <v>441000</v>
      </c>
      <c r="I553" s="93"/>
      <c r="J553" s="90">
        <v>-178000</v>
      </c>
      <c r="K553" s="93"/>
      <c r="L553" s="90">
        <v>476000</v>
      </c>
      <c r="M553" s="93"/>
      <c r="N553" s="90">
        <v>828000</v>
      </c>
      <c r="O553" s="93"/>
      <c r="P553" s="90">
        <v>711000</v>
      </c>
      <c r="Q553" s="93"/>
      <c r="R553" s="90">
        <v>800000</v>
      </c>
    </row>
    <row r="554" spans="3:18" x14ac:dyDescent="0.15">
      <c r="C554" s="52" t="s">
        <v>255</v>
      </c>
      <c r="D554" s="52"/>
      <c r="E554" s="91"/>
      <c r="F554" s="75">
        <f>SUM(H554:L554)</f>
        <v>34000</v>
      </c>
      <c r="G554" s="92"/>
      <c r="H554" s="90">
        <v>0</v>
      </c>
      <c r="I554" s="93"/>
      <c r="J554" s="90">
        <v>34000</v>
      </c>
      <c r="K554" s="93"/>
      <c r="L554" s="90">
        <v>0</v>
      </c>
      <c r="M554" s="93"/>
      <c r="N554" s="90">
        <v>29000</v>
      </c>
      <c r="O554" s="93"/>
      <c r="P554" s="90">
        <v>5000</v>
      </c>
      <c r="Q554" s="93"/>
      <c r="R554" s="90">
        <v>0</v>
      </c>
    </row>
    <row r="555" spans="3:18" x14ac:dyDescent="0.15">
      <c r="C555" s="52" t="s">
        <v>256</v>
      </c>
      <c r="D555" s="52"/>
      <c r="E555" s="91"/>
      <c r="G555" s="92"/>
      <c r="H555" s="90"/>
      <c r="I555" s="93"/>
      <c r="J555" s="90"/>
      <c r="K555" s="93"/>
      <c r="L555" s="90"/>
      <c r="M555" s="93"/>
      <c r="N555" s="90"/>
      <c r="O555" s="93"/>
      <c r="P555" s="90"/>
      <c r="Q555" s="93"/>
      <c r="R555" s="90"/>
    </row>
    <row r="556" spans="3:18" x14ac:dyDescent="0.15">
      <c r="C556" s="52"/>
      <c r="D556" s="52"/>
      <c r="E556" s="91" t="s">
        <v>51</v>
      </c>
      <c r="F556" s="75">
        <f>SUM(H556:L556)</f>
        <v>3681000</v>
      </c>
      <c r="G556" s="92"/>
      <c r="H556" s="90">
        <v>79000</v>
      </c>
      <c r="I556" s="93"/>
      <c r="J556" s="90">
        <v>236000</v>
      </c>
      <c r="K556" s="93"/>
      <c r="L556" s="90">
        <v>3366000</v>
      </c>
      <c r="M556" s="93"/>
      <c r="N556" s="90">
        <v>1340000</v>
      </c>
      <c r="O556" s="93"/>
      <c r="P556" s="90">
        <v>2344000</v>
      </c>
      <c r="Q556" s="93"/>
      <c r="R556" s="90">
        <v>3000</v>
      </c>
    </row>
    <row r="557" spans="3:18" x14ac:dyDescent="0.15">
      <c r="C557" s="52" t="s">
        <v>257</v>
      </c>
      <c r="D557" s="52"/>
      <c r="E557" s="91"/>
      <c r="G557" s="92"/>
      <c r="H557" s="90"/>
      <c r="I557" s="93"/>
      <c r="J557" s="90"/>
      <c r="K557" s="93"/>
      <c r="L557" s="90"/>
      <c r="M557" s="93"/>
      <c r="N557" s="90"/>
      <c r="O557" s="93"/>
      <c r="P557" s="90"/>
      <c r="Q557" s="93"/>
      <c r="R557" s="90"/>
    </row>
    <row r="558" spans="3:18" x14ac:dyDescent="0.15">
      <c r="C558" s="52"/>
      <c r="D558" s="52"/>
      <c r="E558" s="91" t="s">
        <v>258</v>
      </c>
      <c r="F558" s="75">
        <f>SUM(H558:L558)</f>
        <v>4269000</v>
      </c>
      <c r="G558" s="92"/>
      <c r="H558" s="90">
        <v>1974000</v>
      </c>
      <c r="I558" s="93"/>
      <c r="J558" s="90">
        <v>1789000</v>
      </c>
      <c r="K558" s="93"/>
      <c r="L558" s="90">
        <v>506000</v>
      </c>
      <c r="M558" s="93"/>
      <c r="N558" s="90">
        <v>2528000</v>
      </c>
      <c r="O558" s="93"/>
      <c r="P558" s="90">
        <v>1741000</v>
      </c>
      <c r="Q558" s="93"/>
      <c r="R558" s="90">
        <v>0</v>
      </c>
    </row>
    <row r="559" spans="3:18" x14ac:dyDescent="0.15">
      <c r="C559" s="52" t="s">
        <v>259</v>
      </c>
      <c r="D559" s="52"/>
      <c r="E559" s="91"/>
      <c r="G559" s="92"/>
      <c r="H559" s="90"/>
      <c r="I559" s="93"/>
      <c r="J559" s="90"/>
      <c r="K559" s="93"/>
      <c r="L559" s="90"/>
      <c r="M559" s="93"/>
      <c r="N559" s="90"/>
      <c r="O559" s="93"/>
      <c r="P559" s="90"/>
      <c r="Q559" s="93"/>
      <c r="R559" s="90"/>
    </row>
    <row r="560" spans="3:18" x14ac:dyDescent="0.15">
      <c r="C560" s="52"/>
      <c r="D560" s="52"/>
      <c r="E560" s="91" t="s">
        <v>260</v>
      </c>
      <c r="F560" s="75">
        <f>SUM(H560:L560)</f>
        <v>234000</v>
      </c>
      <c r="G560" s="92"/>
      <c r="H560" s="90">
        <v>83000</v>
      </c>
      <c r="I560" s="93"/>
      <c r="J560" s="90">
        <v>0</v>
      </c>
      <c r="K560" s="93"/>
      <c r="L560" s="90">
        <v>151000</v>
      </c>
      <c r="M560" s="93"/>
      <c r="N560" s="90">
        <v>166000</v>
      </c>
      <c r="O560" s="93"/>
      <c r="P560" s="90">
        <v>68000</v>
      </c>
      <c r="Q560" s="93"/>
      <c r="R560" s="90">
        <v>0</v>
      </c>
    </row>
    <row r="561" spans="3:18" x14ac:dyDescent="0.15">
      <c r="C561" s="52" t="s">
        <v>261</v>
      </c>
      <c r="D561" s="52"/>
      <c r="E561" s="91"/>
      <c r="G561" s="92"/>
      <c r="H561" s="90"/>
      <c r="I561" s="93"/>
      <c r="J561" s="90"/>
      <c r="K561" s="93"/>
      <c r="L561" s="90"/>
      <c r="M561" s="93"/>
      <c r="N561" s="90"/>
      <c r="O561" s="93"/>
      <c r="P561" s="90"/>
      <c r="Q561" s="93"/>
      <c r="R561" s="90"/>
    </row>
    <row r="562" spans="3:18" x14ac:dyDescent="0.15">
      <c r="C562" s="52"/>
      <c r="D562" s="52"/>
      <c r="E562" s="91" t="s">
        <v>262</v>
      </c>
      <c r="F562" s="75">
        <f>SUM(H562:L562)</f>
        <v>3581000</v>
      </c>
      <c r="G562" s="92"/>
      <c r="H562" s="90">
        <v>0</v>
      </c>
      <c r="I562" s="93"/>
      <c r="J562" s="90">
        <v>0</v>
      </c>
      <c r="K562" s="93"/>
      <c r="L562" s="90">
        <v>3581000</v>
      </c>
      <c r="M562" s="93"/>
      <c r="N562" s="90">
        <v>2119000</v>
      </c>
      <c r="O562" s="93"/>
      <c r="P562" s="90">
        <v>1462000</v>
      </c>
      <c r="Q562" s="93"/>
      <c r="R562" s="90">
        <v>0</v>
      </c>
    </row>
    <row r="563" spans="3:18" x14ac:dyDescent="0.15">
      <c r="C563" s="52" t="s">
        <v>263</v>
      </c>
      <c r="D563" s="52"/>
      <c r="E563" s="91"/>
      <c r="F563" s="86"/>
    </row>
    <row r="564" spans="3:18" x14ac:dyDescent="0.15">
      <c r="C564" s="52"/>
      <c r="D564" s="52"/>
      <c r="E564" s="91" t="s">
        <v>264</v>
      </c>
      <c r="F564" s="75">
        <f>SUM(H564:L564)</f>
        <v>1111000</v>
      </c>
      <c r="G564" s="92"/>
      <c r="H564" s="90">
        <v>511000</v>
      </c>
      <c r="I564" s="93"/>
      <c r="J564" s="90">
        <v>423000</v>
      </c>
      <c r="K564" s="93"/>
      <c r="L564" s="90">
        <v>177000</v>
      </c>
      <c r="M564" s="93"/>
      <c r="N564" s="90">
        <v>690000</v>
      </c>
      <c r="O564" s="93"/>
      <c r="P564" s="90">
        <v>492000</v>
      </c>
      <c r="Q564" s="93"/>
      <c r="R564" s="90">
        <v>71000</v>
      </c>
    </row>
    <row r="565" spans="3:18" x14ac:dyDescent="0.15">
      <c r="C565" s="52" t="s">
        <v>265</v>
      </c>
      <c r="D565" s="52"/>
      <c r="E565" s="91"/>
      <c r="F565" s="86"/>
    </row>
    <row r="566" spans="3:18" x14ac:dyDescent="0.15">
      <c r="C566" s="52"/>
      <c r="D566" s="52"/>
      <c r="E566" s="91" t="s">
        <v>266</v>
      </c>
      <c r="F566" s="75">
        <f>SUM(H566:L566)</f>
        <v>497000</v>
      </c>
      <c r="G566" s="92"/>
      <c r="H566" s="90">
        <v>6000</v>
      </c>
      <c r="I566" s="93"/>
      <c r="J566" s="90">
        <v>331000</v>
      </c>
      <c r="K566" s="93"/>
      <c r="L566" s="90">
        <v>160000</v>
      </c>
      <c r="M566" s="93"/>
      <c r="N566" s="90">
        <v>181000</v>
      </c>
      <c r="O566" s="93"/>
      <c r="P566" s="90">
        <v>316000</v>
      </c>
      <c r="Q566" s="93"/>
      <c r="R566" s="90">
        <v>0</v>
      </c>
    </row>
    <row r="567" spans="3:18" x14ac:dyDescent="0.15">
      <c r="C567" s="52" t="s">
        <v>267</v>
      </c>
      <c r="D567" s="52"/>
      <c r="E567" s="91"/>
      <c r="F567" s="75">
        <f>SUM(H567:L567)</f>
        <v>39000</v>
      </c>
      <c r="G567" s="92"/>
      <c r="H567" s="90">
        <v>34000</v>
      </c>
      <c r="I567" s="93"/>
      <c r="J567" s="90">
        <v>5000</v>
      </c>
      <c r="K567" s="93"/>
      <c r="L567" s="90">
        <v>0</v>
      </c>
      <c r="M567" s="93"/>
      <c r="N567" s="90">
        <v>17000</v>
      </c>
      <c r="O567" s="93"/>
      <c r="P567" s="90">
        <v>22000</v>
      </c>
      <c r="Q567" s="93"/>
      <c r="R567" s="90">
        <v>0</v>
      </c>
    </row>
    <row r="568" spans="3:18" x14ac:dyDescent="0.15">
      <c r="C568" s="52" t="s">
        <v>269</v>
      </c>
      <c r="D568" s="52"/>
      <c r="E568" s="91"/>
      <c r="F568" s="75">
        <f>SUM(H568:L568)</f>
        <v>3893000</v>
      </c>
      <c r="G568" s="92"/>
      <c r="H568" s="90">
        <v>5000</v>
      </c>
      <c r="I568" s="93"/>
      <c r="J568" s="90">
        <v>193000</v>
      </c>
      <c r="K568" s="93"/>
      <c r="L568" s="90">
        <v>3695000</v>
      </c>
      <c r="M568" s="93"/>
      <c r="N568" s="90">
        <v>1585000</v>
      </c>
      <c r="O568" s="93"/>
      <c r="P568" s="90">
        <v>2308000</v>
      </c>
      <c r="Q568" s="93"/>
      <c r="R568" s="90">
        <v>0</v>
      </c>
    </row>
    <row r="569" spans="3:18" x14ac:dyDescent="0.15">
      <c r="C569" s="52" t="s">
        <v>270</v>
      </c>
      <c r="D569" s="52"/>
      <c r="E569" s="91"/>
      <c r="F569" s="75">
        <f>SUM(H569:L569)</f>
        <v>2393000</v>
      </c>
      <c r="G569" s="69"/>
      <c r="H569" s="90">
        <v>0</v>
      </c>
      <c r="I569" s="90"/>
      <c r="J569" s="90">
        <v>9000</v>
      </c>
      <c r="K569" s="90"/>
      <c r="L569" s="90">
        <v>2384000</v>
      </c>
      <c r="M569" s="90"/>
      <c r="N569" s="90">
        <v>1226000</v>
      </c>
      <c r="O569" s="90"/>
      <c r="P569" s="90">
        <v>1167000</v>
      </c>
      <c r="Q569" s="90"/>
      <c r="R569" s="90">
        <v>0</v>
      </c>
    </row>
    <row r="570" spans="3:18" x14ac:dyDescent="0.15">
      <c r="C570" s="52" t="s">
        <v>271</v>
      </c>
      <c r="D570" s="52"/>
      <c r="E570" s="91"/>
      <c r="G570" s="92"/>
      <c r="H570" s="90"/>
      <c r="I570" s="93"/>
      <c r="J570" s="90"/>
      <c r="K570" s="93"/>
      <c r="L570" s="90"/>
      <c r="M570" s="93"/>
      <c r="N570" s="90"/>
      <c r="O570" s="93"/>
      <c r="P570" s="90"/>
      <c r="Q570" s="93"/>
      <c r="R570" s="90"/>
    </row>
    <row r="571" spans="3:18" x14ac:dyDescent="0.15">
      <c r="C571" s="52" t="s">
        <v>272</v>
      </c>
      <c r="D571" s="52"/>
      <c r="E571" s="91" t="s">
        <v>273</v>
      </c>
      <c r="F571" s="75">
        <f>SUM(H571:L571)</f>
        <v>36000</v>
      </c>
      <c r="G571" s="69"/>
      <c r="H571" s="90">
        <v>0</v>
      </c>
      <c r="I571" s="90"/>
      <c r="J571" s="90">
        <v>0</v>
      </c>
      <c r="K571" s="90"/>
      <c r="L571" s="90">
        <v>36000</v>
      </c>
      <c r="M571" s="90"/>
      <c r="N571" s="90">
        <v>25000</v>
      </c>
      <c r="O571" s="90"/>
      <c r="P571" s="90">
        <v>11000</v>
      </c>
      <c r="Q571" s="90"/>
      <c r="R571" s="90">
        <v>0</v>
      </c>
    </row>
    <row r="572" spans="3:18" x14ac:dyDescent="0.15">
      <c r="C572" s="52" t="s">
        <v>274</v>
      </c>
      <c r="D572" s="52"/>
      <c r="E572" s="91"/>
      <c r="F572" s="75">
        <f>SUM(H572:L572)</f>
        <v>205000</v>
      </c>
      <c r="G572" s="92"/>
      <c r="H572" s="90">
        <v>0</v>
      </c>
      <c r="I572" s="93"/>
      <c r="J572" s="90">
        <v>0</v>
      </c>
      <c r="K572" s="93"/>
      <c r="L572" s="90">
        <v>205000</v>
      </c>
      <c r="M572" s="93"/>
      <c r="N572" s="90">
        <v>20000</v>
      </c>
      <c r="O572" s="93"/>
      <c r="P572" s="90">
        <v>185000</v>
      </c>
      <c r="Q572" s="93"/>
      <c r="R572" s="90">
        <v>0</v>
      </c>
    </row>
    <row r="573" spans="3:18" x14ac:dyDescent="0.15">
      <c r="C573" s="52" t="s">
        <v>275</v>
      </c>
      <c r="D573" s="52"/>
      <c r="E573" s="91"/>
      <c r="F573" s="75">
        <f>SUM(H573:L573)</f>
        <v>2252000</v>
      </c>
      <c r="G573" s="69"/>
      <c r="H573" s="90">
        <v>1040000</v>
      </c>
      <c r="I573" s="90"/>
      <c r="J573" s="90">
        <v>226000</v>
      </c>
      <c r="K573" s="90"/>
      <c r="L573" s="90">
        <v>986000</v>
      </c>
      <c r="M573" s="90"/>
      <c r="N573" s="90">
        <v>810000</v>
      </c>
      <c r="O573" s="90"/>
      <c r="P573" s="90">
        <v>1591000</v>
      </c>
      <c r="Q573" s="90"/>
      <c r="R573" s="90">
        <v>149000</v>
      </c>
    </row>
    <row r="574" spans="3:18" x14ac:dyDescent="0.15">
      <c r="C574" s="52" t="s">
        <v>276</v>
      </c>
      <c r="D574" s="52"/>
      <c r="E574" s="91"/>
      <c r="F574" s="75">
        <f>SUM(H574:L574)</f>
        <v>116000</v>
      </c>
      <c r="G574" s="92"/>
      <c r="H574" s="90">
        <v>0</v>
      </c>
      <c r="I574" s="93"/>
      <c r="J574" s="90">
        <v>25000</v>
      </c>
      <c r="K574" s="93"/>
      <c r="L574" s="90">
        <v>91000</v>
      </c>
      <c r="M574" s="93"/>
      <c r="N574" s="90">
        <v>31000</v>
      </c>
      <c r="O574" s="93"/>
      <c r="P574" s="90">
        <v>85000</v>
      </c>
      <c r="Q574" s="93"/>
      <c r="R574" s="90">
        <v>0</v>
      </c>
    </row>
    <row r="575" spans="3:18" x14ac:dyDescent="0.15">
      <c r="C575" s="52" t="s">
        <v>277</v>
      </c>
      <c r="D575" s="52"/>
      <c r="E575" s="91"/>
      <c r="F575" s="75">
        <f t="shared" ref="F575:F585" si="19">SUM(H575:L575)</f>
        <v>198000</v>
      </c>
      <c r="G575" s="69"/>
      <c r="H575" s="90">
        <v>0</v>
      </c>
      <c r="I575" s="90"/>
      <c r="J575" s="90">
        <v>0</v>
      </c>
      <c r="K575" s="90"/>
      <c r="L575" s="90">
        <v>198000</v>
      </c>
      <c r="M575" s="90"/>
      <c r="N575" s="90">
        <v>127000</v>
      </c>
      <c r="O575" s="90"/>
      <c r="P575" s="90">
        <v>71000</v>
      </c>
      <c r="Q575" s="90"/>
      <c r="R575" s="90">
        <v>0</v>
      </c>
    </row>
    <row r="576" spans="3:18" ht="14.25" customHeight="1" x14ac:dyDescent="0.15">
      <c r="C576" s="53" t="s">
        <v>278</v>
      </c>
      <c r="F576" s="75">
        <f t="shared" si="19"/>
        <v>2098000</v>
      </c>
      <c r="G576" s="92"/>
      <c r="H576" s="90">
        <v>93000</v>
      </c>
      <c r="I576" s="93"/>
      <c r="J576" s="90">
        <v>771000</v>
      </c>
      <c r="K576" s="93"/>
      <c r="L576" s="90">
        <v>1234000</v>
      </c>
      <c r="M576" s="93"/>
      <c r="N576" s="90">
        <v>898000</v>
      </c>
      <c r="O576" s="93"/>
      <c r="P576" s="90">
        <v>1200000</v>
      </c>
      <c r="Q576" s="93"/>
      <c r="R576" s="90">
        <v>0</v>
      </c>
    </row>
    <row r="577" spans="3:18" x14ac:dyDescent="0.15">
      <c r="C577" s="52" t="s">
        <v>218</v>
      </c>
      <c r="D577" s="52"/>
      <c r="E577" s="91"/>
      <c r="F577" s="75">
        <f t="shared" si="19"/>
        <v>1461000</v>
      </c>
      <c r="G577" s="69"/>
      <c r="H577" s="90">
        <v>78000</v>
      </c>
      <c r="I577" s="90"/>
      <c r="J577" s="90">
        <v>107000</v>
      </c>
      <c r="K577" s="90"/>
      <c r="L577" s="90">
        <v>1276000</v>
      </c>
      <c r="M577" s="90"/>
      <c r="N577" s="90">
        <v>854000</v>
      </c>
      <c r="O577" s="90"/>
      <c r="P577" s="90">
        <v>607000</v>
      </c>
      <c r="Q577" s="90"/>
      <c r="R577" s="90">
        <v>0</v>
      </c>
    </row>
    <row r="578" spans="3:18" x14ac:dyDescent="0.15">
      <c r="C578" s="52" t="s">
        <v>279</v>
      </c>
      <c r="D578" s="52"/>
      <c r="E578" s="91"/>
      <c r="F578" s="75">
        <f t="shared" si="19"/>
        <v>9142000</v>
      </c>
      <c r="G578" s="92"/>
      <c r="H578" s="90">
        <v>0</v>
      </c>
      <c r="I578" s="93"/>
      <c r="J578" s="90">
        <v>27000</v>
      </c>
      <c r="K578" s="93"/>
      <c r="L578" s="90">
        <v>9115000</v>
      </c>
      <c r="M578" s="93"/>
      <c r="N578" s="90">
        <v>2947000</v>
      </c>
      <c r="O578" s="93"/>
      <c r="P578" s="90">
        <v>6195000</v>
      </c>
      <c r="Q578" s="93"/>
      <c r="R578" s="90">
        <v>0</v>
      </c>
    </row>
    <row r="579" spans="3:18" ht="14.25" customHeight="1" x14ac:dyDescent="0.15">
      <c r="C579" s="52" t="s">
        <v>219</v>
      </c>
      <c r="F579" s="75">
        <f t="shared" si="19"/>
        <v>292000</v>
      </c>
      <c r="G579" s="69"/>
      <c r="H579" s="90">
        <v>3000</v>
      </c>
      <c r="I579" s="90"/>
      <c r="J579" s="90">
        <v>0</v>
      </c>
      <c r="K579" s="90"/>
      <c r="L579" s="90">
        <v>289000</v>
      </c>
      <c r="M579" s="90"/>
      <c r="N579" s="90">
        <v>105000</v>
      </c>
      <c r="O579" s="90"/>
      <c r="P579" s="90">
        <v>188000</v>
      </c>
      <c r="Q579" s="90"/>
      <c r="R579" s="90">
        <v>1000</v>
      </c>
    </row>
    <row r="580" spans="3:18" x14ac:dyDescent="0.15">
      <c r="C580" s="52" t="s">
        <v>280</v>
      </c>
      <c r="F580" s="75">
        <f t="shared" si="19"/>
        <v>66000</v>
      </c>
      <c r="G580" s="92"/>
      <c r="H580" s="90">
        <v>65000</v>
      </c>
      <c r="I580" s="93"/>
      <c r="J580" s="90">
        <v>1000</v>
      </c>
      <c r="K580" s="93"/>
      <c r="L580" s="90">
        <v>0</v>
      </c>
      <c r="M580" s="93"/>
      <c r="N580" s="90">
        <v>40000</v>
      </c>
      <c r="O580" s="93"/>
      <c r="P580" s="90">
        <v>26000</v>
      </c>
      <c r="Q580" s="93"/>
      <c r="R580" s="90">
        <v>0</v>
      </c>
    </row>
    <row r="581" spans="3:18" x14ac:dyDescent="0.15">
      <c r="C581" s="52" t="s">
        <v>281</v>
      </c>
      <c r="D581" s="52"/>
      <c r="E581" s="91"/>
      <c r="F581" s="75">
        <f t="shared" si="19"/>
        <v>94000</v>
      </c>
      <c r="G581" s="92"/>
      <c r="H581" s="90">
        <v>-108000</v>
      </c>
      <c r="I581" s="93"/>
      <c r="J581" s="90">
        <v>-275000</v>
      </c>
      <c r="K581" s="93"/>
      <c r="L581" s="90">
        <v>477000</v>
      </c>
      <c r="M581" s="93"/>
      <c r="N581" s="90">
        <v>0</v>
      </c>
      <c r="O581" s="93"/>
      <c r="P581" s="90">
        <v>94000</v>
      </c>
      <c r="Q581" s="93"/>
      <c r="R581" s="90">
        <v>0</v>
      </c>
    </row>
    <row r="582" spans="3:18" x14ac:dyDescent="0.15">
      <c r="C582" s="52" t="s">
        <v>282</v>
      </c>
      <c r="D582" s="52"/>
      <c r="E582" s="91"/>
      <c r="F582" s="75">
        <f t="shared" si="19"/>
        <v>2439000</v>
      </c>
      <c r="G582" s="92"/>
      <c r="H582" s="90">
        <v>133000</v>
      </c>
      <c r="I582" s="93"/>
      <c r="J582" s="90">
        <v>62000</v>
      </c>
      <c r="K582" s="93"/>
      <c r="L582" s="90">
        <v>2244000</v>
      </c>
      <c r="M582" s="93"/>
      <c r="N582" s="90">
        <v>1022000</v>
      </c>
      <c r="O582" s="93"/>
      <c r="P582" s="90">
        <v>1417000</v>
      </c>
      <c r="Q582" s="93"/>
      <c r="R582" s="90">
        <v>0</v>
      </c>
    </row>
    <row r="583" spans="3:18" x14ac:dyDescent="0.15">
      <c r="C583" s="52" t="s">
        <v>220</v>
      </c>
      <c r="D583" s="52"/>
      <c r="E583" s="91"/>
      <c r="F583" s="75">
        <f t="shared" si="19"/>
        <v>10153000</v>
      </c>
      <c r="H583" s="86">
        <v>484000</v>
      </c>
      <c r="J583" s="86">
        <v>147000</v>
      </c>
      <c r="L583" s="86">
        <v>9522000</v>
      </c>
      <c r="N583" s="86">
        <v>4962000</v>
      </c>
      <c r="P583" s="86">
        <v>5191000</v>
      </c>
      <c r="R583" s="86">
        <v>0</v>
      </c>
    </row>
    <row r="584" spans="3:18" x14ac:dyDescent="0.15">
      <c r="C584" s="52" t="s">
        <v>221</v>
      </c>
      <c r="D584" s="52"/>
      <c r="E584" s="91"/>
      <c r="F584" s="75">
        <f t="shared" si="19"/>
        <v>340000</v>
      </c>
      <c r="G584" s="92"/>
      <c r="H584" s="90">
        <v>118000</v>
      </c>
      <c r="I584" s="93"/>
      <c r="J584" s="90">
        <v>119000</v>
      </c>
      <c r="K584" s="93"/>
      <c r="L584" s="90">
        <v>103000</v>
      </c>
      <c r="M584" s="93"/>
      <c r="N584" s="90">
        <v>215000</v>
      </c>
      <c r="O584" s="93"/>
      <c r="P584" s="90">
        <v>125000</v>
      </c>
      <c r="Q584" s="93"/>
      <c r="R584" s="90">
        <v>0</v>
      </c>
    </row>
    <row r="585" spans="3:18" x14ac:dyDescent="0.15">
      <c r="C585" s="52" t="s">
        <v>283</v>
      </c>
      <c r="D585" s="52"/>
      <c r="E585" s="91"/>
      <c r="F585" s="75">
        <f t="shared" si="19"/>
        <v>326000</v>
      </c>
      <c r="G585" s="92"/>
      <c r="H585" s="90">
        <v>0</v>
      </c>
      <c r="I585" s="93"/>
      <c r="J585" s="90">
        <v>-1000</v>
      </c>
      <c r="K585" s="93"/>
      <c r="L585" s="90">
        <v>327000</v>
      </c>
      <c r="M585" s="93"/>
      <c r="N585" s="90">
        <v>168000</v>
      </c>
      <c r="O585" s="93"/>
      <c r="P585" s="90">
        <v>158000</v>
      </c>
      <c r="Q585" s="93"/>
      <c r="R585" s="90">
        <v>0</v>
      </c>
    </row>
    <row r="586" spans="3:18" x14ac:dyDescent="0.15">
      <c r="C586" s="52" t="s">
        <v>284</v>
      </c>
      <c r="D586" s="52"/>
      <c r="E586" s="91"/>
      <c r="G586" s="92"/>
      <c r="H586" s="90"/>
      <c r="I586" s="93"/>
      <c r="J586" s="90"/>
      <c r="K586" s="93"/>
      <c r="L586" s="90"/>
      <c r="M586" s="93"/>
      <c r="N586" s="90"/>
      <c r="O586" s="93"/>
      <c r="P586" s="90"/>
      <c r="Q586" s="93"/>
      <c r="R586" s="90"/>
    </row>
    <row r="587" spans="3:18" x14ac:dyDescent="0.15">
      <c r="C587" s="52"/>
      <c r="D587" s="52"/>
      <c r="E587" s="91" t="s">
        <v>285</v>
      </c>
      <c r="F587" s="75">
        <f t="shared" ref="F587:F595" si="20">SUM(H587:L587)</f>
        <v>764000</v>
      </c>
      <c r="G587" s="92"/>
      <c r="H587" s="90">
        <v>207000</v>
      </c>
      <c r="I587" s="93"/>
      <c r="J587" s="90">
        <v>418000</v>
      </c>
      <c r="K587" s="93"/>
      <c r="L587" s="90">
        <v>139000</v>
      </c>
      <c r="M587" s="93"/>
      <c r="N587" s="90">
        <v>428000</v>
      </c>
      <c r="O587" s="93"/>
      <c r="P587" s="90">
        <v>336000</v>
      </c>
      <c r="Q587" s="93"/>
      <c r="R587" s="90">
        <v>0</v>
      </c>
    </row>
    <row r="588" spans="3:18" x14ac:dyDescent="0.15">
      <c r="C588" s="52" t="s">
        <v>222</v>
      </c>
      <c r="D588" s="52"/>
      <c r="E588" s="91"/>
      <c r="G588" s="92"/>
      <c r="H588" s="90"/>
      <c r="I588" s="93"/>
      <c r="J588" s="90"/>
      <c r="K588" s="93"/>
      <c r="L588" s="90"/>
      <c r="M588" s="93"/>
      <c r="N588" s="90"/>
      <c r="O588" s="93"/>
      <c r="P588" s="90"/>
      <c r="Q588" s="93"/>
      <c r="R588" s="90"/>
    </row>
    <row r="589" spans="3:18" x14ac:dyDescent="0.15">
      <c r="C589" s="52"/>
      <c r="D589" s="52"/>
      <c r="E589" s="91" t="s">
        <v>223</v>
      </c>
      <c r="F589" s="75">
        <f t="shared" si="20"/>
        <v>6897000</v>
      </c>
      <c r="G589" s="92"/>
      <c r="H589" s="90">
        <v>86000</v>
      </c>
      <c r="I589" s="93"/>
      <c r="J589" s="90">
        <v>122000</v>
      </c>
      <c r="K589" s="93"/>
      <c r="L589" s="90">
        <v>6689000</v>
      </c>
      <c r="M589" s="93"/>
      <c r="N589" s="90">
        <v>2916000</v>
      </c>
      <c r="O589" s="93"/>
      <c r="P589" s="90">
        <v>3981000</v>
      </c>
      <c r="Q589" s="93"/>
      <c r="R589" s="90">
        <v>0</v>
      </c>
    </row>
    <row r="590" spans="3:18" x14ac:dyDescent="0.15">
      <c r="C590" s="52" t="s">
        <v>224</v>
      </c>
      <c r="D590" s="52"/>
      <c r="E590" s="91"/>
      <c r="F590" s="75">
        <f t="shared" si="20"/>
        <v>1369000</v>
      </c>
      <c r="G590" s="92"/>
      <c r="H590" s="90">
        <v>119000</v>
      </c>
      <c r="I590" s="93"/>
      <c r="J590" s="90">
        <v>-27000</v>
      </c>
      <c r="K590" s="93"/>
      <c r="L590" s="90">
        <v>1277000</v>
      </c>
      <c r="M590" s="93"/>
      <c r="N590" s="90">
        <v>812000</v>
      </c>
      <c r="O590" s="93"/>
      <c r="P590" s="90">
        <v>557000</v>
      </c>
      <c r="Q590" s="93"/>
      <c r="R590" s="90">
        <v>0</v>
      </c>
    </row>
    <row r="591" spans="3:18" x14ac:dyDescent="0.15">
      <c r="C591" s="52" t="s">
        <v>225</v>
      </c>
      <c r="D591" s="52"/>
      <c r="E591" s="91"/>
      <c r="F591" s="75">
        <f t="shared" si="20"/>
        <v>2928000</v>
      </c>
      <c r="G591" s="92"/>
      <c r="H591" s="90">
        <v>1409000</v>
      </c>
      <c r="I591" s="93"/>
      <c r="J591" s="90">
        <v>200000</v>
      </c>
      <c r="K591" s="93"/>
      <c r="L591" s="90">
        <v>1319000</v>
      </c>
      <c r="M591" s="93"/>
      <c r="N591" s="90">
        <v>1265000</v>
      </c>
      <c r="O591" s="93"/>
      <c r="P591" s="90">
        <v>1679000</v>
      </c>
      <c r="Q591" s="93"/>
      <c r="R591" s="90">
        <v>16000</v>
      </c>
    </row>
    <row r="592" spans="3:18" x14ac:dyDescent="0.15">
      <c r="C592" s="52" t="s">
        <v>226</v>
      </c>
      <c r="D592" s="52"/>
      <c r="E592" s="91"/>
      <c r="F592" s="75">
        <f t="shared" si="20"/>
        <v>2157000</v>
      </c>
      <c r="G592" s="92"/>
      <c r="H592" s="90">
        <v>522000</v>
      </c>
      <c r="I592" s="93"/>
      <c r="J592" s="90">
        <v>181000</v>
      </c>
      <c r="K592" s="93"/>
      <c r="L592" s="90">
        <v>1454000</v>
      </c>
      <c r="M592" s="93"/>
      <c r="N592" s="90">
        <v>1234000</v>
      </c>
      <c r="O592" s="93"/>
      <c r="P592" s="90">
        <v>923000</v>
      </c>
      <c r="Q592" s="93"/>
      <c r="R592" s="90">
        <v>0</v>
      </c>
    </row>
    <row r="593" spans="3:18" x14ac:dyDescent="0.15">
      <c r="C593" s="52" t="s">
        <v>286</v>
      </c>
      <c r="D593" s="52"/>
      <c r="E593" s="91"/>
      <c r="F593" s="75">
        <f t="shared" si="20"/>
        <v>6453000</v>
      </c>
      <c r="G593" s="92"/>
      <c r="H593" s="90">
        <v>3165000</v>
      </c>
      <c r="I593" s="93"/>
      <c r="J593" s="90">
        <v>736000</v>
      </c>
      <c r="K593" s="93"/>
      <c r="L593" s="90">
        <v>2552000</v>
      </c>
      <c r="M593" s="93"/>
      <c r="N593" s="90">
        <v>3807000</v>
      </c>
      <c r="O593" s="93"/>
      <c r="P593" s="90">
        <v>2647000</v>
      </c>
      <c r="Q593" s="93"/>
      <c r="R593" s="90">
        <v>1000</v>
      </c>
    </row>
    <row r="594" spans="3:18" x14ac:dyDescent="0.15">
      <c r="C594" s="52" t="s">
        <v>287</v>
      </c>
      <c r="D594" s="52"/>
      <c r="E594" s="91"/>
      <c r="G594" s="92"/>
      <c r="H594" s="90"/>
      <c r="I594" s="93"/>
      <c r="J594" s="90"/>
      <c r="K594" s="93"/>
      <c r="L594" s="90"/>
      <c r="M594" s="93"/>
      <c r="N594" s="90"/>
      <c r="O594" s="93"/>
      <c r="P594" s="90"/>
      <c r="Q594" s="93"/>
      <c r="R594" s="90"/>
    </row>
    <row r="595" spans="3:18" x14ac:dyDescent="0.15">
      <c r="C595" s="52"/>
      <c r="D595" s="52"/>
      <c r="E595" s="52" t="s">
        <v>288</v>
      </c>
      <c r="F595" s="75">
        <f t="shared" si="20"/>
        <v>1747000</v>
      </c>
      <c r="G595" s="92"/>
      <c r="H595" s="90">
        <v>178000</v>
      </c>
      <c r="I595" s="93"/>
      <c r="J595" s="90">
        <v>101000</v>
      </c>
      <c r="K595" s="93"/>
      <c r="L595" s="90">
        <v>1468000</v>
      </c>
      <c r="M595" s="93"/>
      <c r="N595" s="90">
        <v>911000</v>
      </c>
      <c r="O595" s="93"/>
      <c r="P595" s="90">
        <v>836000</v>
      </c>
      <c r="Q595" s="93"/>
      <c r="R595" s="90">
        <v>0</v>
      </c>
    </row>
    <row r="596" spans="3:18" x14ac:dyDescent="0.15">
      <c r="C596" s="52" t="s">
        <v>227</v>
      </c>
      <c r="D596" s="52"/>
      <c r="E596" s="91"/>
      <c r="G596" s="69"/>
      <c r="H596" s="90"/>
      <c r="I596" s="90"/>
      <c r="J596" s="90"/>
      <c r="K596" s="90"/>
      <c r="L596" s="90"/>
      <c r="M596" s="90"/>
      <c r="N596" s="90"/>
      <c r="O596" s="90"/>
      <c r="P596" s="90"/>
      <c r="Q596" s="90"/>
      <c r="R596" s="90"/>
    </row>
    <row r="597" spans="3:18" x14ac:dyDescent="0.15">
      <c r="E597" s="52" t="s">
        <v>51</v>
      </c>
      <c r="F597" s="75">
        <f>SUM(H597:L597)</f>
        <v>3103000</v>
      </c>
      <c r="G597" s="92"/>
      <c r="H597" s="90">
        <v>315000</v>
      </c>
      <c r="I597" s="93"/>
      <c r="J597" s="90">
        <v>2000</v>
      </c>
      <c r="K597" s="93"/>
      <c r="L597" s="90">
        <v>2786000</v>
      </c>
      <c r="M597" s="93"/>
      <c r="N597" s="90">
        <v>1518000</v>
      </c>
      <c r="O597" s="93"/>
      <c r="P597" s="90">
        <v>1585000</v>
      </c>
      <c r="Q597" s="93"/>
      <c r="R597" s="90">
        <v>0</v>
      </c>
    </row>
    <row r="598" spans="3:18" x14ac:dyDescent="0.15">
      <c r="C598" s="52" t="s">
        <v>228</v>
      </c>
      <c r="D598" s="52"/>
      <c r="E598" s="91"/>
      <c r="F598" s="75">
        <f>SUM(H598:L598)</f>
        <v>2888000</v>
      </c>
      <c r="G598" s="69"/>
      <c r="H598" s="90">
        <v>36000</v>
      </c>
      <c r="I598" s="90"/>
      <c r="J598" s="90">
        <v>779000</v>
      </c>
      <c r="K598" s="90"/>
      <c r="L598" s="90">
        <v>2073000</v>
      </c>
      <c r="M598" s="90"/>
      <c r="N598" s="90">
        <v>1490000</v>
      </c>
      <c r="O598" s="90"/>
      <c r="P598" s="90">
        <v>1398000</v>
      </c>
      <c r="Q598" s="90"/>
      <c r="R598" s="90">
        <v>0</v>
      </c>
    </row>
    <row r="599" spans="3:18" x14ac:dyDescent="0.15">
      <c r="C599" s="53" t="s">
        <v>229</v>
      </c>
      <c r="G599" s="92"/>
      <c r="H599" s="90"/>
      <c r="I599" s="93"/>
      <c r="J599" s="90"/>
      <c r="K599" s="93"/>
      <c r="L599" s="90"/>
      <c r="M599" s="93"/>
      <c r="N599" s="90"/>
      <c r="O599" s="93"/>
      <c r="P599" s="90"/>
      <c r="Q599" s="93"/>
      <c r="R599" s="90"/>
    </row>
    <row r="600" spans="3:18" x14ac:dyDescent="0.15">
      <c r="C600" s="52"/>
      <c r="D600" s="52"/>
      <c r="E600" s="91" t="s">
        <v>230</v>
      </c>
      <c r="F600" s="75">
        <f>SUM(H600:L600)</f>
        <v>1943000</v>
      </c>
      <c r="G600" s="92"/>
      <c r="H600" s="90">
        <v>239000</v>
      </c>
      <c r="I600" s="93"/>
      <c r="J600" s="90">
        <v>109000</v>
      </c>
      <c r="K600" s="93"/>
      <c r="L600" s="90">
        <v>1595000</v>
      </c>
      <c r="M600" s="93"/>
      <c r="N600" s="90">
        <v>723000</v>
      </c>
      <c r="O600" s="93"/>
      <c r="P600" s="90">
        <v>1220000</v>
      </c>
      <c r="Q600" s="93"/>
      <c r="R600" s="90">
        <v>0</v>
      </c>
    </row>
    <row r="601" spans="3:18" x14ac:dyDescent="0.15">
      <c r="C601" s="52" t="s">
        <v>231</v>
      </c>
      <c r="D601" s="52"/>
      <c r="E601" s="91"/>
      <c r="F601" s="75">
        <f>SUM(H601:L601)</f>
        <v>616000</v>
      </c>
      <c r="G601" s="92"/>
      <c r="H601" s="90">
        <v>0</v>
      </c>
      <c r="I601" s="93"/>
      <c r="J601" s="90">
        <v>0</v>
      </c>
      <c r="K601" s="93"/>
      <c r="L601" s="90">
        <v>616000</v>
      </c>
      <c r="M601" s="93"/>
      <c r="N601" s="90">
        <v>393000</v>
      </c>
      <c r="O601" s="93"/>
      <c r="P601" s="90">
        <v>223000</v>
      </c>
      <c r="Q601" s="93"/>
      <c r="R601" s="90">
        <v>0</v>
      </c>
    </row>
    <row r="602" spans="3:18" x14ac:dyDescent="0.15">
      <c r="C602" s="52" t="s">
        <v>289</v>
      </c>
      <c r="D602" s="52"/>
      <c r="E602" s="91"/>
      <c r="G602" s="92"/>
      <c r="H602" s="90"/>
      <c r="I602" s="93"/>
      <c r="J602" s="90"/>
      <c r="K602" s="93"/>
      <c r="L602" s="90"/>
      <c r="M602" s="93"/>
      <c r="N602" s="90"/>
      <c r="O602" s="93"/>
      <c r="P602" s="90"/>
      <c r="Q602" s="93"/>
      <c r="R602" s="90"/>
    </row>
    <row r="603" spans="3:18" x14ac:dyDescent="0.15">
      <c r="C603" s="52"/>
      <c r="D603" s="52"/>
      <c r="E603" s="91" t="s">
        <v>290</v>
      </c>
      <c r="F603" s="75">
        <f>SUM(H603:L603)</f>
        <v>2942000</v>
      </c>
      <c r="G603" s="92"/>
      <c r="H603" s="90">
        <v>0</v>
      </c>
      <c r="I603" s="93"/>
      <c r="J603" s="90">
        <v>4000</v>
      </c>
      <c r="K603" s="93"/>
      <c r="L603" s="90">
        <v>2938000</v>
      </c>
      <c r="M603" s="93"/>
      <c r="N603" s="90">
        <v>1969000</v>
      </c>
      <c r="O603" s="93"/>
      <c r="P603" s="90">
        <v>973000</v>
      </c>
      <c r="Q603" s="93"/>
      <c r="R603" s="90">
        <v>0</v>
      </c>
    </row>
    <row r="604" spans="3:18" x14ac:dyDescent="0.15">
      <c r="C604" s="52" t="s">
        <v>232</v>
      </c>
      <c r="D604" s="52"/>
      <c r="E604" s="91"/>
      <c r="F604" s="75">
        <f>SUM(H604:L604)</f>
        <v>829000</v>
      </c>
      <c r="G604" s="69"/>
      <c r="H604" s="90">
        <v>0</v>
      </c>
      <c r="I604" s="90"/>
      <c r="J604" s="90">
        <v>9000</v>
      </c>
      <c r="K604" s="90"/>
      <c r="L604" s="90">
        <v>820000</v>
      </c>
      <c r="M604" s="90"/>
      <c r="N604" s="90">
        <v>386000</v>
      </c>
      <c r="O604" s="90"/>
      <c r="P604" s="90">
        <v>443000</v>
      </c>
      <c r="Q604" s="90"/>
      <c r="R604" s="90">
        <v>0</v>
      </c>
    </row>
    <row r="605" spans="3:18" x14ac:dyDescent="0.15">
      <c r="C605" s="52" t="s">
        <v>233</v>
      </c>
      <c r="D605" s="52"/>
      <c r="E605" s="91"/>
      <c r="F605" s="75">
        <f>SUM(H605:L605)</f>
        <v>1169000</v>
      </c>
      <c r="G605" s="92"/>
      <c r="H605" s="90">
        <v>5000</v>
      </c>
      <c r="I605" s="93"/>
      <c r="J605" s="90">
        <v>72000</v>
      </c>
      <c r="K605" s="93"/>
      <c r="L605" s="90">
        <v>1092000</v>
      </c>
      <c r="M605" s="93"/>
      <c r="N605" s="90">
        <v>491000</v>
      </c>
      <c r="O605" s="93"/>
      <c r="P605" s="90">
        <v>759000</v>
      </c>
      <c r="Q605" s="93"/>
      <c r="R605" s="90">
        <v>81000</v>
      </c>
    </row>
    <row r="606" spans="3:18" x14ac:dyDescent="0.15">
      <c r="C606" s="52" t="s">
        <v>291</v>
      </c>
      <c r="D606" s="52"/>
      <c r="E606" s="91"/>
      <c r="G606" s="69"/>
      <c r="H606" s="90"/>
      <c r="I606" s="90"/>
      <c r="J606" s="90"/>
      <c r="K606" s="90"/>
      <c r="L606" s="90"/>
      <c r="M606" s="90"/>
      <c r="N606" s="90"/>
      <c r="O606" s="90"/>
      <c r="P606" s="90"/>
      <c r="Q606" s="90"/>
      <c r="R606" s="90"/>
    </row>
    <row r="607" spans="3:18" x14ac:dyDescent="0.15">
      <c r="E607" s="52" t="s">
        <v>292</v>
      </c>
      <c r="F607" s="75">
        <f t="shared" ref="F607:F623" si="21">SUM(H607:L607)</f>
        <v>88000</v>
      </c>
      <c r="G607" s="92"/>
      <c r="H607" s="90">
        <v>0</v>
      </c>
      <c r="I607" s="93"/>
      <c r="J607" s="90">
        <v>86000</v>
      </c>
      <c r="K607" s="93"/>
      <c r="L607" s="90">
        <v>2000</v>
      </c>
      <c r="M607" s="93"/>
      <c r="N607" s="90">
        <v>35000</v>
      </c>
      <c r="O607" s="93"/>
      <c r="P607" s="90">
        <v>53000</v>
      </c>
      <c r="Q607" s="93"/>
      <c r="R607" s="90">
        <v>0</v>
      </c>
    </row>
    <row r="608" spans="3:18" x14ac:dyDescent="0.15">
      <c r="C608" s="53" t="s">
        <v>293</v>
      </c>
      <c r="F608" s="75">
        <f t="shared" si="21"/>
        <v>206000</v>
      </c>
      <c r="G608" s="92"/>
      <c r="H608" s="90">
        <v>116000</v>
      </c>
      <c r="I608" s="93"/>
      <c r="J608" s="90">
        <v>83000</v>
      </c>
      <c r="K608" s="93"/>
      <c r="L608" s="90">
        <v>7000</v>
      </c>
      <c r="M608" s="93"/>
      <c r="N608" s="90">
        <v>144000</v>
      </c>
      <c r="O608" s="93"/>
      <c r="P608" s="90">
        <v>62000</v>
      </c>
      <c r="Q608" s="93"/>
      <c r="R608" s="90">
        <v>0</v>
      </c>
    </row>
    <row r="609" spans="3:18" x14ac:dyDescent="0.15">
      <c r="C609" s="52" t="s">
        <v>234</v>
      </c>
      <c r="D609" s="52"/>
      <c r="E609" s="91"/>
      <c r="F609" s="75">
        <f t="shared" si="21"/>
        <v>9242000</v>
      </c>
      <c r="G609" s="69"/>
      <c r="H609" s="90">
        <v>6528000</v>
      </c>
      <c r="I609" s="90"/>
      <c r="J609" s="90">
        <v>-6282000</v>
      </c>
      <c r="K609" s="90"/>
      <c r="L609" s="90">
        <v>8996000</v>
      </c>
      <c r="M609" s="90"/>
      <c r="N609" s="90">
        <v>168000</v>
      </c>
      <c r="O609" s="90"/>
      <c r="P609" s="90">
        <v>9077000</v>
      </c>
      <c r="Q609" s="90"/>
      <c r="R609" s="90">
        <v>3000</v>
      </c>
    </row>
    <row r="610" spans="3:18" x14ac:dyDescent="0.15">
      <c r="C610" s="53" t="s">
        <v>295</v>
      </c>
      <c r="F610" s="75">
        <f t="shared" si="21"/>
        <v>2016000</v>
      </c>
      <c r="G610" s="92"/>
      <c r="H610" s="90">
        <v>542000</v>
      </c>
      <c r="I610" s="93"/>
      <c r="J610" s="90">
        <v>44000</v>
      </c>
      <c r="K610" s="93"/>
      <c r="L610" s="90">
        <v>1430000</v>
      </c>
      <c r="M610" s="93"/>
      <c r="N610" s="90">
        <v>1004000</v>
      </c>
      <c r="O610" s="93"/>
      <c r="P610" s="90">
        <v>1012000</v>
      </c>
      <c r="Q610" s="93"/>
      <c r="R610" s="90">
        <v>0</v>
      </c>
    </row>
    <row r="611" spans="3:18" x14ac:dyDescent="0.15">
      <c r="C611" s="52" t="s">
        <v>296</v>
      </c>
      <c r="D611" s="52"/>
      <c r="E611" s="91"/>
      <c r="F611" s="75">
        <f t="shared" si="21"/>
        <v>6124000</v>
      </c>
      <c r="G611" s="92"/>
      <c r="H611" s="90">
        <v>986000</v>
      </c>
      <c r="I611" s="93"/>
      <c r="J611" s="90">
        <v>4251000</v>
      </c>
      <c r="K611" s="93"/>
      <c r="L611" s="90">
        <v>887000</v>
      </c>
      <c r="M611" s="93"/>
      <c r="N611" s="90">
        <v>2803000</v>
      </c>
      <c r="O611" s="93"/>
      <c r="P611" s="90">
        <v>3325000</v>
      </c>
      <c r="Q611" s="93"/>
      <c r="R611" s="90">
        <v>4000</v>
      </c>
    </row>
    <row r="612" spans="3:18" x14ac:dyDescent="0.15">
      <c r="C612" s="53" t="s">
        <v>298</v>
      </c>
      <c r="D612" s="52"/>
      <c r="F612" s="75">
        <f t="shared" si="21"/>
        <v>4791000</v>
      </c>
      <c r="G612" s="69"/>
      <c r="H612" s="90">
        <v>17000</v>
      </c>
      <c r="I612" s="90"/>
      <c r="J612" s="90">
        <v>43000</v>
      </c>
      <c r="K612" s="90"/>
      <c r="L612" s="90">
        <v>4731000</v>
      </c>
      <c r="M612" s="90"/>
      <c r="N612" s="90">
        <v>1861000</v>
      </c>
      <c r="O612" s="90"/>
      <c r="P612" s="90">
        <v>2930000</v>
      </c>
      <c r="Q612" s="90"/>
      <c r="R612" s="90">
        <v>0</v>
      </c>
    </row>
    <row r="613" spans="3:18" x14ac:dyDescent="0.15">
      <c r="C613" s="53" t="s">
        <v>236</v>
      </c>
      <c r="E613" s="53"/>
      <c r="F613" s="75">
        <f t="shared" si="21"/>
        <v>72781000</v>
      </c>
      <c r="G613" s="92"/>
      <c r="H613" s="90">
        <v>772000</v>
      </c>
      <c r="I613" s="93"/>
      <c r="J613" s="90">
        <v>1953000</v>
      </c>
      <c r="K613" s="93"/>
      <c r="L613" s="90">
        <v>70056000</v>
      </c>
      <c r="M613" s="93"/>
      <c r="N613" s="90">
        <v>21861000</v>
      </c>
      <c r="O613" s="93"/>
      <c r="P613" s="90">
        <v>50920000</v>
      </c>
      <c r="Q613" s="93"/>
      <c r="R613" s="90">
        <v>0</v>
      </c>
    </row>
    <row r="614" spans="3:18" x14ac:dyDescent="0.15">
      <c r="C614" s="52" t="s">
        <v>237</v>
      </c>
      <c r="D614" s="52"/>
      <c r="E614" s="91"/>
      <c r="F614" s="75">
        <f t="shared" si="21"/>
        <v>797000</v>
      </c>
      <c r="G614" s="92"/>
      <c r="H614" s="90">
        <v>0</v>
      </c>
      <c r="I614" s="93"/>
      <c r="J614" s="90">
        <v>0</v>
      </c>
      <c r="K614" s="93"/>
      <c r="L614" s="90">
        <v>797000</v>
      </c>
      <c r="M614" s="93"/>
      <c r="N614" s="90">
        <v>417000</v>
      </c>
      <c r="O614" s="93"/>
      <c r="P614" s="90">
        <v>380000</v>
      </c>
      <c r="Q614" s="93"/>
      <c r="R614" s="90">
        <v>0</v>
      </c>
    </row>
    <row r="615" spans="3:18" x14ac:dyDescent="0.15">
      <c r="C615" s="52" t="s">
        <v>238</v>
      </c>
      <c r="D615" s="52"/>
      <c r="E615" s="91"/>
      <c r="F615" s="75">
        <f t="shared" si="21"/>
        <v>115000</v>
      </c>
      <c r="G615" s="92"/>
      <c r="H615" s="90">
        <v>2000</v>
      </c>
      <c r="I615" s="93"/>
      <c r="J615" s="90">
        <v>30000</v>
      </c>
      <c r="K615" s="93"/>
      <c r="L615" s="90">
        <v>83000</v>
      </c>
      <c r="M615" s="93"/>
      <c r="N615" s="90">
        <v>41000</v>
      </c>
      <c r="O615" s="93"/>
      <c r="P615" s="90">
        <v>74000</v>
      </c>
      <c r="Q615" s="93"/>
      <c r="R615" s="90">
        <v>0</v>
      </c>
    </row>
    <row r="616" spans="3:18" x14ac:dyDescent="0.15">
      <c r="C616" s="52" t="s">
        <v>239</v>
      </c>
      <c r="D616" s="52"/>
      <c r="E616" s="91"/>
      <c r="F616" s="75">
        <f t="shared" si="21"/>
        <v>372000</v>
      </c>
      <c r="G616" s="69"/>
      <c r="H616" s="90">
        <v>71000</v>
      </c>
      <c r="I616" s="90"/>
      <c r="J616" s="90">
        <v>222000</v>
      </c>
      <c r="K616" s="90"/>
      <c r="L616" s="90">
        <v>79000</v>
      </c>
      <c r="M616" s="90"/>
      <c r="N616" s="90">
        <v>267000</v>
      </c>
      <c r="O616" s="90"/>
      <c r="P616" s="90">
        <v>105000</v>
      </c>
      <c r="Q616" s="90"/>
      <c r="R616" s="90">
        <v>0</v>
      </c>
    </row>
    <row r="617" spans="3:18" x14ac:dyDescent="0.15">
      <c r="C617" s="52" t="s">
        <v>299</v>
      </c>
      <c r="D617" s="52"/>
      <c r="E617" s="53"/>
      <c r="F617" s="75">
        <f t="shared" si="21"/>
        <v>918000</v>
      </c>
      <c r="G617" s="92"/>
      <c r="H617" s="90">
        <v>0</v>
      </c>
      <c r="I617" s="93"/>
      <c r="J617" s="90">
        <v>0</v>
      </c>
      <c r="K617" s="93"/>
      <c r="L617" s="90">
        <v>918000</v>
      </c>
      <c r="M617" s="93"/>
      <c r="N617" s="90">
        <v>394000</v>
      </c>
      <c r="O617" s="93"/>
      <c r="P617" s="90">
        <v>524000</v>
      </c>
      <c r="Q617" s="93"/>
      <c r="R617" s="90">
        <v>0</v>
      </c>
    </row>
    <row r="618" spans="3:18" x14ac:dyDescent="0.15">
      <c r="C618" s="52" t="s">
        <v>510</v>
      </c>
      <c r="D618" s="52"/>
      <c r="E618" s="91"/>
      <c r="F618" s="75">
        <f t="shared" si="21"/>
        <v>13000</v>
      </c>
      <c r="G618" s="92"/>
      <c r="H618" s="90">
        <v>1000</v>
      </c>
      <c r="I618" s="93"/>
      <c r="J618" s="90">
        <v>12000</v>
      </c>
      <c r="K618" s="93"/>
      <c r="L618" s="90">
        <v>0</v>
      </c>
      <c r="M618" s="93"/>
      <c r="N618" s="90">
        <v>0</v>
      </c>
      <c r="O618" s="93"/>
      <c r="P618" s="90">
        <v>13000</v>
      </c>
      <c r="Q618" s="93"/>
      <c r="R618" s="90">
        <v>0</v>
      </c>
    </row>
    <row r="619" spans="3:18" x14ac:dyDescent="0.15">
      <c r="C619" s="52" t="s">
        <v>511</v>
      </c>
      <c r="D619" s="52"/>
      <c r="E619" s="91"/>
      <c r="F619" s="75">
        <f t="shared" si="21"/>
        <v>2550000</v>
      </c>
      <c r="G619" s="92"/>
      <c r="H619" s="90">
        <v>23000</v>
      </c>
      <c r="I619" s="93"/>
      <c r="J619" s="90">
        <v>136000</v>
      </c>
      <c r="K619" s="93"/>
      <c r="L619" s="90">
        <v>2391000</v>
      </c>
      <c r="M619" s="93"/>
      <c r="N619" s="90">
        <v>1238000</v>
      </c>
      <c r="O619" s="93"/>
      <c r="P619" s="90">
        <v>1312000</v>
      </c>
      <c r="Q619" s="93"/>
      <c r="R619" s="90">
        <v>0</v>
      </c>
    </row>
    <row r="620" spans="3:18" x14ac:dyDescent="0.15">
      <c r="C620" s="52" t="s">
        <v>303</v>
      </c>
      <c r="D620" s="52"/>
      <c r="E620" s="53"/>
      <c r="F620" s="75">
        <f t="shared" si="21"/>
        <v>2246000</v>
      </c>
      <c r="G620" s="92"/>
      <c r="H620" s="90">
        <v>56000</v>
      </c>
      <c r="I620" s="93"/>
      <c r="J620" s="90">
        <v>130000</v>
      </c>
      <c r="K620" s="93"/>
      <c r="L620" s="90">
        <v>2060000</v>
      </c>
      <c r="M620" s="93"/>
      <c r="N620" s="90">
        <v>816000</v>
      </c>
      <c r="O620" s="93"/>
      <c r="P620" s="90">
        <v>1430000</v>
      </c>
      <c r="Q620" s="93"/>
      <c r="R620" s="90">
        <v>0</v>
      </c>
    </row>
    <row r="621" spans="3:18" x14ac:dyDescent="0.15">
      <c r="C621" s="52" t="s">
        <v>241</v>
      </c>
      <c r="D621" s="52"/>
      <c r="E621" s="91"/>
      <c r="F621" s="75">
        <f t="shared" si="21"/>
        <v>1188000</v>
      </c>
      <c r="G621" s="92"/>
      <c r="H621" s="90">
        <v>57000</v>
      </c>
      <c r="I621" s="93"/>
      <c r="J621" s="90">
        <v>948000</v>
      </c>
      <c r="K621" s="93"/>
      <c r="L621" s="90">
        <v>183000</v>
      </c>
      <c r="M621" s="93"/>
      <c r="N621" s="90">
        <v>765000</v>
      </c>
      <c r="O621" s="93"/>
      <c r="P621" s="90">
        <v>443000</v>
      </c>
      <c r="Q621" s="93"/>
      <c r="R621" s="90">
        <v>20000</v>
      </c>
    </row>
    <row r="622" spans="3:18" x14ac:dyDescent="0.15">
      <c r="C622" s="52" t="s">
        <v>242</v>
      </c>
      <c r="D622" s="52"/>
      <c r="E622" s="91"/>
      <c r="G622" s="92"/>
      <c r="H622" s="90"/>
      <c r="I622" s="93"/>
      <c r="J622" s="90"/>
      <c r="K622" s="93"/>
      <c r="L622" s="90"/>
      <c r="M622" s="93"/>
      <c r="N622" s="90"/>
      <c r="O622" s="93"/>
      <c r="P622" s="90"/>
      <c r="Q622" s="93"/>
      <c r="R622" s="90">
        <v>0</v>
      </c>
    </row>
    <row r="623" spans="3:18" x14ac:dyDescent="0.15">
      <c r="C623" s="52" t="s">
        <v>272</v>
      </c>
      <c r="D623" s="52"/>
      <c r="E623" s="91" t="s">
        <v>243</v>
      </c>
      <c r="F623" s="75">
        <f t="shared" si="21"/>
        <v>470000</v>
      </c>
      <c r="G623" s="92"/>
      <c r="H623" s="90">
        <v>74000</v>
      </c>
      <c r="I623" s="93"/>
      <c r="J623" s="90">
        <v>314000</v>
      </c>
      <c r="K623" s="93"/>
      <c r="L623" s="90">
        <v>82000</v>
      </c>
      <c r="M623" s="93"/>
      <c r="N623" s="90">
        <v>216000</v>
      </c>
      <c r="O623" s="93"/>
      <c r="P623" s="90">
        <v>254000</v>
      </c>
      <c r="Q623" s="93"/>
      <c r="R623" s="90">
        <v>0</v>
      </c>
    </row>
    <row r="624" spans="3:18" x14ac:dyDescent="0.15">
      <c r="C624" s="52" t="s">
        <v>244</v>
      </c>
      <c r="D624" s="52"/>
      <c r="E624" s="91"/>
      <c r="F624" s="94">
        <f>SUM(H624:L624)</f>
        <v>-910000</v>
      </c>
      <c r="G624" s="69"/>
      <c r="H624" s="95">
        <v>-97000</v>
      </c>
      <c r="I624" s="90"/>
      <c r="J624" s="95">
        <v>-770000</v>
      </c>
      <c r="K624" s="90"/>
      <c r="L624" s="95">
        <v>-43000</v>
      </c>
      <c r="M624" s="90"/>
      <c r="N624" s="95">
        <v>-980000</v>
      </c>
      <c r="O624" s="90"/>
      <c r="P624" s="95">
        <v>70000</v>
      </c>
      <c r="Q624" s="90"/>
      <c r="R624" s="95">
        <v>0</v>
      </c>
    </row>
    <row r="625" spans="1:18" x14ac:dyDescent="0.15"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</row>
    <row r="626" spans="1:18" x14ac:dyDescent="0.15">
      <c r="E626" s="52" t="s">
        <v>3</v>
      </c>
      <c r="F626" s="94">
        <f>SUM(H626:L626)</f>
        <v>232570000</v>
      </c>
      <c r="G626" s="69"/>
      <c r="H626" s="94">
        <f>SUM(H540:H625)</f>
        <v>23659000</v>
      </c>
      <c r="I626" s="75"/>
      <c r="J626" s="94">
        <f>SUM(J540:J625)</f>
        <v>12793000</v>
      </c>
      <c r="K626" s="75"/>
      <c r="L626" s="94">
        <f>SUM(L540:L625)</f>
        <v>196118000</v>
      </c>
      <c r="M626" s="75"/>
      <c r="N626" s="94">
        <f>SUM(N540:N625)</f>
        <v>91442000</v>
      </c>
      <c r="O626" s="75"/>
      <c r="P626" s="94">
        <f>SUM(P540:P625)</f>
        <v>142398000</v>
      </c>
      <c r="Q626" s="75"/>
      <c r="R626" s="94">
        <f>SUM(R540:R625)</f>
        <v>1270000</v>
      </c>
    </row>
    <row r="627" spans="1:18" x14ac:dyDescent="0.15">
      <c r="A627" s="88"/>
      <c r="B627" s="88"/>
      <c r="C627" s="88"/>
      <c r="D627" s="88"/>
      <c r="E627" s="88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</row>
    <row r="628" spans="1:18" x14ac:dyDescent="0.15">
      <c r="B628" s="53" t="s">
        <v>28</v>
      </c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</row>
    <row r="629" spans="1:18" x14ac:dyDescent="0.15">
      <c r="C629" s="53" t="s">
        <v>304</v>
      </c>
      <c r="F629" s="75">
        <f>SUM(H629:L629)</f>
        <v>10177000</v>
      </c>
      <c r="G629" s="92"/>
      <c r="H629" s="90">
        <v>2087000</v>
      </c>
      <c r="I629" s="93"/>
      <c r="J629" s="90">
        <v>4206000</v>
      </c>
      <c r="K629" s="93"/>
      <c r="L629" s="90">
        <v>3884000</v>
      </c>
      <c r="M629" s="93"/>
      <c r="N629" s="90">
        <v>4467000</v>
      </c>
      <c r="O629" s="93"/>
      <c r="P629" s="90">
        <v>5722000</v>
      </c>
      <c r="Q629" s="93"/>
      <c r="R629" s="90">
        <v>12000</v>
      </c>
    </row>
    <row r="630" spans="1:18" x14ac:dyDescent="0.15">
      <c r="C630" s="53" t="s">
        <v>305</v>
      </c>
      <c r="G630" s="69"/>
    </row>
    <row r="631" spans="1:18" x14ac:dyDescent="0.15">
      <c r="C631" s="86"/>
      <c r="E631" s="52" t="s">
        <v>306</v>
      </c>
      <c r="F631" s="75">
        <f>SUM(H631:L631)</f>
        <v>3423000</v>
      </c>
      <c r="G631" s="92"/>
      <c r="H631" s="90">
        <v>1060000</v>
      </c>
      <c r="I631" s="93"/>
      <c r="J631" s="90">
        <v>1719000</v>
      </c>
      <c r="K631" s="93"/>
      <c r="L631" s="90">
        <v>644000</v>
      </c>
      <c r="M631" s="93"/>
      <c r="N631" s="90">
        <v>1704000</v>
      </c>
      <c r="O631" s="93"/>
      <c r="P631" s="90">
        <v>1719000</v>
      </c>
      <c r="Q631" s="93"/>
      <c r="R631" s="90">
        <v>0</v>
      </c>
    </row>
    <row r="632" spans="1:18" x14ac:dyDescent="0.15">
      <c r="C632" s="52" t="s">
        <v>307</v>
      </c>
      <c r="D632" s="52"/>
      <c r="E632" s="91"/>
      <c r="F632" s="75">
        <f>SUM(H632:L632)</f>
        <v>9577000</v>
      </c>
      <c r="G632" s="92"/>
      <c r="H632" s="90">
        <v>25000</v>
      </c>
      <c r="I632" s="93"/>
      <c r="J632" s="90">
        <v>2719000</v>
      </c>
      <c r="K632" s="93"/>
      <c r="L632" s="90">
        <v>6833000</v>
      </c>
      <c r="M632" s="93"/>
      <c r="N632" s="90">
        <v>3980000</v>
      </c>
      <c r="O632" s="93"/>
      <c r="P632" s="90">
        <v>5597000</v>
      </c>
      <c r="Q632" s="93"/>
      <c r="R632" s="90">
        <v>0</v>
      </c>
    </row>
    <row r="633" spans="1:18" x14ac:dyDescent="0.15">
      <c r="C633" s="52" t="s">
        <v>309</v>
      </c>
      <c r="D633" s="52"/>
      <c r="E633" s="91"/>
      <c r="F633" s="75">
        <f>SUM(H633:L633)</f>
        <v>14715000</v>
      </c>
      <c r="G633" s="92"/>
      <c r="H633" s="90">
        <v>165000</v>
      </c>
      <c r="I633" s="93"/>
      <c r="J633" s="90">
        <v>7895000</v>
      </c>
      <c r="K633" s="93"/>
      <c r="L633" s="90">
        <v>6655000</v>
      </c>
      <c r="M633" s="93"/>
      <c r="N633" s="90">
        <v>5170000</v>
      </c>
      <c r="O633" s="93"/>
      <c r="P633" s="90">
        <v>11127000</v>
      </c>
      <c r="Q633" s="93"/>
      <c r="R633" s="90">
        <v>1582000</v>
      </c>
    </row>
    <row r="634" spans="1:18" x14ac:dyDescent="0.15">
      <c r="C634" s="52" t="s">
        <v>310</v>
      </c>
      <c r="D634" s="52"/>
      <c r="E634" s="91"/>
      <c r="F634" s="75">
        <f>SUM(H634:L634)</f>
        <v>1400000</v>
      </c>
      <c r="G634" s="92"/>
      <c r="H634" s="90">
        <v>90000</v>
      </c>
      <c r="I634" s="93"/>
      <c r="J634" s="90">
        <v>639000</v>
      </c>
      <c r="K634" s="93"/>
      <c r="L634" s="90">
        <v>671000</v>
      </c>
      <c r="M634" s="93"/>
      <c r="N634" s="90">
        <v>1055000</v>
      </c>
      <c r="O634" s="93"/>
      <c r="P634" s="90">
        <v>345000</v>
      </c>
      <c r="Q634" s="93"/>
      <c r="R634" s="90">
        <v>0</v>
      </c>
    </row>
    <row r="635" spans="1:18" x14ac:dyDescent="0.15">
      <c r="C635" s="52" t="s">
        <v>275</v>
      </c>
      <c r="D635" s="52"/>
      <c r="E635" s="91"/>
      <c r="F635" s="75">
        <f>SUM(H635:L635)</f>
        <v>185000</v>
      </c>
      <c r="G635" s="69"/>
      <c r="H635" s="90">
        <v>0</v>
      </c>
      <c r="I635" s="90"/>
      <c r="J635" s="90">
        <v>0</v>
      </c>
      <c r="K635" s="90"/>
      <c r="L635" s="90">
        <v>185000</v>
      </c>
      <c r="M635" s="90"/>
      <c r="N635" s="90">
        <v>33000</v>
      </c>
      <c r="O635" s="90"/>
      <c r="P635" s="90">
        <v>152000</v>
      </c>
      <c r="Q635" s="90"/>
      <c r="R635" s="90">
        <v>0</v>
      </c>
    </row>
    <row r="636" spans="1:18" x14ac:dyDescent="0.15">
      <c r="C636" s="86" t="s">
        <v>222</v>
      </c>
      <c r="D636" s="52"/>
      <c r="E636" s="91"/>
      <c r="G636" s="92"/>
      <c r="H636" s="90"/>
      <c r="I636" s="93"/>
      <c r="J636" s="90"/>
      <c r="K636" s="93"/>
      <c r="L636" s="90"/>
      <c r="M636" s="93"/>
      <c r="N636" s="90"/>
      <c r="O636" s="93"/>
      <c r="P636" s="90"/>
      <c r="Q636" s="93"/>
      <c r="R636" s="90"/>
    </row>
    <row r="637" spans="1:18" x14ac:dyDescent="0.15">
      <c r="E637" s="52" t="s">
        <v>51</v>
      </c>
      <c r="F637" s="75">
        <f>SUM(H637:L637)</f>
        <v>114000</v>
      </c>
      <c r="G637" s="92"/>
      <c r="H637" s="90">
        <v>0</v>
      </c>
      <c r="I637" s="93"/>
      <c r="J637" s="90">
        <v>98000</v>
      </c>
      <c r="K637" s="93"/>
      <c r="L637" s="90">
        <v>16000</v>
      </c>
      <c r="M637" s="93"/>
      <c r="N637" s="90">
        <v>0</v>
      </c>
      <c r="O637" s="93"/>
      <c r="P637" s="90">
        <v>114000</v>
      </c>
      <c r="Q637" s="93"/>
      <c r="R637" s="90">
        <v>0</v>
      </c>
    </row>
    <row r="638" spans="1:18" x14ac:dyDescent="0.15">
      <c r="C638" s="52" t="s">
        <v>286</v>
      </c>
      <c r="D638" s="52"/>
      <c r="E638" s="91"/>
      <c r="F638" s="75">
        <f>SUM(H638:L638)</f>
        <v>9000</v>
      </c>
      <c r="G638" s="69"/>
      <c r="H638" s="90">
        <v>0</v>
      </c>
      <c r="I638" s="90"/>
      <c r="J638" s="90">
        <v>12000</v>
      </c>
      <c r="K638" s="90"/>
      <c r="L638" s="90">
        <v>-3000</v>
      </c>
      <c r="M638" s="90"/>
      <c r="N638" s="90">
        <v>-5000</v>
      </c>
      <c r="O638" s="90"/>
      <c r="P638" s="90">
        <v>14000</v>
      </c>
      <c r="Q638" s="90"/>
      <c r="R638" s="90">
        <v>0</v>
      </c>
    </row>
    <row r="639" spans="1:18" x14ac:dyDescent="0.15">
      <c r="C639" s="53" t="s">
        <v>287</v>
      </c>
      <c r="G639" s="92"/>
      <c r="H639" s="90"/>
      <c r="I639" s="93"/>
      <c r="J639" s="90"/>
      <c r="K639" s="93"/>
      <c r="L639" s="90"/>
      <c r="M639" s="93"/>
      <c r="N639" s="90"/>
      <c r="O639" s="93"/>
      <c r="P639" s="90"/>
      <c r="Q639" s="93"/>
      <c r="R639" s="90"/>
    </row>
    <row r="640" spans="1:18" x14ac:dyDescent="0.15">
      <c r="C640" s="52"/>
      <c r="D640" s="52"/>
      <c r="E640" s="91" t="s">
        <v>288</v>
      </c>
      <c r="F640" s="75">
        <f t="shared" ref="F640:F652" si="22">SUM(H640:L640)</f>
        <v>1223000</v>
      </c>
      <c r="G640" s="69"/>
      <c r="H640" s="86">
        <v>0</v>
      </c>
      <c r="I640" s="90"/>
      <c r="J640" s="86">
        <v>231000</v>
      </c>
      <c r="K640" s="90"/>
      <c r="L640" s="86">
        <v>992000</v>
      </c>
      <c r="M640" s="90"/>
      <c r="N640" s="86">
        <v>286000</v>
      </c>
      <c r="O640" s="90"/>
      <c r="P640" s="86">
        <v>936000</v>
      </c>
      <c r="Q640" s="90"/>
      <c r="R640" s="86">
        <v>-1000</v>
      </c>
    </row>
    <row r="641" spans="1:18" ht="12" customHeight="1" x14ac:dyDescent="0.15">
      <c r="C641" s="52" t="s">
        <v>313</v>
      </c>
      <c r="D641" s="52"/>
      <c r="E641" s="91"/>
      <c r="F641" s="75">
        <f t="shared" si="22"/>
        <v>0</v>
      </c>
      <c r="G641" s="92"/>
      <c r="H641" s="90"/>
      <c r="I641" s="93"/>
      <c r="J641" s="90"/>
      <c r="K641" s="93"/>
      <c r="L641" s="90"/>
      <c r="M641" s="93"/>
      <c r="N641" s="90"/>
      <c r="O641" s="93"/>
      <c r="P641" s="90"/>
      <c r="Q641" s="93"/>
      <c r="R641" s="90"/>
    </row>
    <row r="642" spans="1:18" x14ac:dyDescent="0.15">
      <c r="C642" s="52" t="s">
        <v>228</v>
      </c>
      <c r="D642" s="52"/>
      <c r="E642" s="91"/>
      <c r="F642" s="75">
        <f t="shared" si="22"/>
        <v>1415000</v>
      </c>
      <c r="G642" s="92"/>
      <c r="H642" s="90">
        <v>0</v>
      </c>
      <c r="I642" s="93"/>
      <c r="J642" s="90">
        <v>762000</v>
      </c>
      <c r="K642" s="93"/>
      <c r="L642" s="90">
        <v>653000</v>
      </c>
      <c r="M642" s="93"/>
      <c r="N642" s="90">
        <v>708000</v>
      </c>
      <c r="O642" s="93"/>
      <c r="P642" s="90">
        <v>707000</v>
      </c>
      <c r="Q642" s="93"/>
      <c r="R642" s="90">
        <v>0</v>
      </c>
    </row>
    <row r="643" spans="1:18" x14ac:dyDescent="0.15">
      <c r="C643" s="52" t="s">
        <v>231</v>
      </c>
      <c r="D643" s="52"/>
      <c r="E643" s="91"/>
      <c r="F643" s="75">
        <f t="shared" si="22"/>
        <v>22558000</v>
      </c>
      <c r="G643" s="69"/>
      <c r="H643" s="90">
        <v>1077000</v>
      </c>
      <c r="I643" s="90"/>
      <c r="J643" s="90">
        <v>15440000</v>
      </c>
      <c r="K643" s="90"/>
      <c r="L643" s="90">
        <v>6041000</v>
      </c>
      <c r="M643" s="90"/>
      <c r="N643" s="90">
        <v>14230000</v>
      </c>
      <c r="O643" s="90"/>
      <c r="P643" s="90">
        <v>8328000</v>
      </c>
      <c r="Q643" s="90"/>
      <c r="R643" s="90">
        <v>0</v>
      </c>
    </row>
    <row r="644" spans="1:18" x14ac:dyDescent="0.15">
      <c r="C644" s="52" t="s">
        <v>314</v>
      </c>
      <c r="D644" s="52"/>
      <c r="E644" s="91"/>
      <c r="F644" s="75">
        <f t="shared" si="22"/>
        <v>-94000</v>
      </c>
      <c r="G644" s="92"/>
      <c r="H644" s="90">
        <v>0</v>
      </c>
      <c r="I644" s="93"/>
      <c r="J644" s="90">
        <v>-94000</v>
      </c>
      <c r="K644" s="93"/>
      <c r="L644" s="90">
        <v>0</v>
      </c>
      <c r="M644" s="93"/>
      <c r="N644" s="90">
        <v>0</v>
      </c>
      <c r="O644" s="93"/>
      <c r="P644" s="90">
        <v>0</v>
      </c>
      <c r="Q644" s="93"/>
      <c r="R644" s="90">
        <v>94000</v>
      </c>
    </row>
    <row r="645" spans="1:18" x14ac:dyDescent="0.15">
      <c r="C645" s="52" t="s">
        <v>315</v>
      </c>
      <c r="D645" s="52"/>
      <c r="E645" s="91"/>
      <c r="F645" s="75">
        <f t="shared" si="22"/>
        <v>65000</v>
      </c>
      <c r="G645" s="69"/>
      <c r="H645" s="90">
        <v>0</v>
      </c>
      <c r="I645" s="90"/>
      <c r="J645" s="90">
        <v>0</v>
      </c>
      <c r="K645" s="90"/>
      <c r="L645" s="90">
        <v>65000</v>
      </c>
      <c r="M645" s="90"/>
      <c r="N645" s="90">
        <v>-12000</v>
      </c>
      <c r="O645" s="90"/>
      <c r="P645" s="90">
        <v>77000</v>
      </c>
      <c r="Q645" s="90"/>
      <c r="R645" s="90">
        <v>0</v>
      </c>
    </row>
    <row r="646" spans="1:18" x14ac:dyDescent="0.15">
      <c r="C646" s="53" t="s">
        <v>233</v>
      </c>
      <c r="F646" s="75">
        <f t="shared" si="22"/>
        <v>14000</v>
      </c>
      <c r="G646" s="92"/>
      <c r="H646" s="90">
        <v>0</v>
      </c>
      <c r="I646" s="93"/>
      <c r="J646" s="90">
        <v>0</v>
      </c>
      <c r="K646" s="93"/>
      <c r="L646" s="90">
        <v>14000</v>
      </c>
      <c r="M646" s="93"/>
      <c r="N646" s="90">
        <v>14000</v>
      </c>
      <c r="O646" s="93"/>
      <c r="P646" s="90">
        <v>0</v>
      </c>
      <c r="Q646" s="93"/>
      <c r="R646" s="90">
        <v>0</v>
      </c>
    </row>
    <row r="647" spans="1:18" x14ac:dyDescent="0.15">
      <c r="C647" s="52" t="s">
        <v>316</v>
      </c>
      <c r="D647" s="52"/>
      <c r="E647" s="91"/>
      <c r="F647" s="75">
        <f t="shared" si="22"/>
        <v>992000</v>
      </c>
      <c r="G647" s="92"/>
      <c r="H647" s="90">
        <v>0</v>
      </c>
      <c r="I647" s="93"/>
      <c r="J647" s="90">
        <v>750000</v>
      </c>
      <c r="K647" s="93"/>
      <c r="L647" s="90">
        <v>242000</v>
      </c>
      <c r="M647" s="93"/>
      <c r="N647" s="90">
        <v>609000</v>
      </c>
      <c r="O647" s="93"/>
      <c r="P647" s="90">
        <v>383000</v>
      </c>
      <c r="Q647" s="93"/>
      <c r="R647" s="90">
        <v>0</v>
      </c>
    </row>
    <row r="648" spans="1:18" x14ac:dyDescent="0.15">
      <c r="C648" s="52" t="s">
        <v>234</v>
      </c>
      <c r="D648" s="52"/>
      <c r="E648" s="91"/>
      <c r="F648" s="75">
        <f t="shared" si="22"/>
        <v>1340000</v>
      </c>
      <c r="G648" s="92"/>
      <c r="H648" s="90">
        <v>301000</v>
      </c>
      <c r="I648" s="93"/>
      <c r="J648" s="90">
        <v>867000</v>
      </c>
      <c r="K648" s="93"/>
      <c r="L648" s="90">
        <v>172000</v>
      </c>
      <c r="M648" s="93"/>
      <c r="N648" s="90">
        <v>305000</v>
      </c>
      <c r="O648" s="93"/>
      <c r="P648" s="90">
        <v>1035000</v>
      </c>
      <c r="Q648" s="93"/>
      <c r="R648" s="90">
        <v>0</v>
      </c>
    </row>
    <row r="649" spans="1:18" x14ac:dyDescent="0.15">
      <c r="C649" s="52" t="s">
        <v>236</v>
      </c>
      <c r="D649" s="52"/>
      <c r="E649" s="91"/>
      <c r="F649" s="75">
        <f t="shared" si="22"/>
        <v>1085000</v>
      </c>
      <c r="G649" s="92"/>
      <c r="H649" s="90">
        <v>0</v>
      </c>
      <c r="I649" s="93"/>
      <c r="J649" s="90">
        <v>9000</v>
      </c>
      <c r="K649" s="93"/>
      <c r="L649" s="90">
        <v>1076000</v>
      </c>
      <c r="M649" s="93"/>
      <c r="N649" s="90">
        <v>488000</v>
      </c>
      <c r="O649" s="93"/>
      <c r="P649" s="90">
        <v>597000</v>
      </c>
      <c r="Q649" s="93"/>
      <c r="R649" s="90">
        <v>0</v>
      </c>
    </row>
    <row r="650" spans="1:18" x14ac:dyDescent="0.15">
      <c r="C650" s="52" t="s">
        <v>318</v>
      </c>
      <c r="D650" s="52"/>
      <c r="E650" s="91"/>
      <c r="F650" s="75">
        <f t="shared" si="22"/>
        <v>974000</v>
      </c>
      <c r="G650" s="92"/>
      <c r="H650" s="90">
        <v>0</v>
      </c>
      <c r="I650" s="93"/>
      <c r="J650" s="90">
        <v>817000</v>
      </c>
      <c r="K650" s="93"/>
      <c r="L650" s="90">
        <v>157000</v>
      </c>
      <c r="M650" s="93"/>
      <c r="N650" s="90">
        <v>483000</v>
      </c>
      <c r="O650" s="93"/>
      <c r="P650" s="90">
        <v>492000</v>
      </c>
      <c r="Q650" s="93"/>
      <c r="R650" s="90">
        <v>1000</v>
      </c>
    </row>
    <row r="651" spans="1:18" x14ac:dyDescent="0.15">
      <c r="C651" s="52" t="s">
        <v>240</v>
      </c>
      <c r="D651" s="52"/>
      <c r="E651" s="91"/>
      <c r="F651" s="75">
        <f t="shared" si="22"/>
        <v>173000</v>
      </c>
      <c r="G651" s="92"/>
      <c r="H651" s="90">
        <v>0</v>
      </c>
      <c r="I651" s="93"/>
      <c r="J651" s="90">
        <v>170000</v>
      </c>
      <c r="K651" s="93"/>
      <c r="L651" s="90">
        <v>3000</v>
      </c>
      <c r="M651" s="93"/>
      <c r="N651" s="90">
        <v>68000</v>
      </c>
      <c r="O651" s="93"/>
      <c r="P651" s="90">
        <v>109000</v>
      </c>
      <c r="Q651" s="93"/>
      <c r="R651" s="90">
        <v>4000</v>
      </c>
    </row>
    <row r="652" spans="1:18" x14ac:dyDescent="0.15">
      <c r="C652" s="52" t="s">
        <v>319</v>
      </c>
      <c r="D652" s="52"/>
      <c r="E652" s="91"/>
      <c r="F652" s="75">
        <f t="shared" si="22"/>
        <v>418000</v>
      </c>
      <c r="G652" s="92"/>
      <c r="H652" s="90">
        <v>0</v>
      </c>
      <c r="I652" s="93"/>
      <c r="J652" s="90">
        <v>216000</v>
      </c>
      <c r="K652" s="93"/>
      <c r="L652" s="90">
        <v>202000</v>
      </c>
      <c r="M652" s="93"/>
      <c r="N652" s="90">
        <v>0</v>
      </c>
      <c r="O652" s="93"/>
      <c r="P652" s="90">
        <v>418000</v>
      </c>
      <c r="Q652" s="93"/>
      <c r="R652" s="90">
        <v>0</v>
      </c>
    </row>
    <row r="653" spans="1:18" x14ac:dyDescent="0.15">
      <c r="C653" s="52" t="s">
        <v>244</v>
      </c>
      <c r="D653" s="52"/>
      <c r="E653" s="91"/>
      <c r="F653" s="94">
        <f>SUM(H653:L653)</f>
        <v>-2000</v>
      </c>
      <c r="G653" s="69"/>
      <c r="H653" s="95">
        <v>13000</v>
      </c>
      <c r="I653" s="90"/>
      <c r="J653" s="95">
        <v>59000</v>
      </c>
      <c r="K653" s="90"/>
      <c r="L653" s="95">
        <v>-74000</v>
      </c>
      <c r="M653" s="90"/>
      <c r="N653" s="95">
        <v>-31000</v>
      </c>
      <c r="O653" s="90"/>
      <c r="P653" s="95">
        <v>29000</v>
      </c>
      <c r="Q653" s="90"/>
      <c r="R653" s="95">
        <v>0</v>
      </c>
    </row>
    <row r="654" spans="1:18" x14ac:dyDescent="0.15">
      <c r="B654" s="7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</row>
    <row r="655" spans="1:18" x14ac:dyDescent="0.15">
      <c r="E655" s="52" t="s">
        <v>3</v>
      </c>
      <c r="F655" s="94">
        <f>SUM(H655:L655)</f>
        <v>69761000</v>
      </c>
      <c r="G655" s="69"/>
      <c r="H655" s="94">
        <f>SUM(H629:H654)</f>
        <v>4818000</v>
      </c>
      <c r="I655" s="75"/>
      <c r="J655" s="94">
        <f>SUM(J629:J654)</f>
        <v>36515000</v>
      </c>
      <c r="K655" s="75"/>
      <c r="L655" s="94">
        <f>SUM(L629:L654)</f>
        <v>28428000</v>
      </c>
      <c r="M655" s="75"/>
      <c r="N655" s="94">
        <f>SUM(N629:N654)</f>
        <v>33552000</v>
      </c>
      <c r="O655" s="75"/>
      <c r="P655" s="94">
        <f>SUM(P629:P654)</f>
        <v>37901000</v>
      </c>
      <c r="Q655" s="75"/>
      <c r="R655" s="94">
        <f>SUM(R629:R654)</f>
        <v>1692000</v>
      </c>
    </row>
    <row r="656" spans="1:18" x14ac:dyDescent="0.15">
      <c r="A656" s="88"/>
      <c r="B656" s="88"/>
      <c r="C656" s="88"/>
      <c r="D656" s="88"/>
      <c r="E656" s="88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</row>
    <row r="657" spans="1:18" x14ac:dyDescent="0.15">
      <c r="B657" s="53" t="s">
        <v>29</v>
      </c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</row>
    <row r="658" spans="1:18" x14ac:dyDescent="0.15">
      <c r="C658" s="52" t="s">
        <v>307</v>
      </c>
      <c r="D658" s="52"/>
      <c r="E658" s="91"/>
      <c r="F658" s="75">
        <f>SUM(H658:L658)</f>
        <v>320000</v>
      </c>
      <c r="G658" s="92"/>
      <c r="H658" s="90">
        <v>320000</v>
      </c>
      <c r="I658" s="93"/>
      <c r="J658" s="90">
        <v>0</v>
      </c>
      <c r="K658" s="93"/>
      <c r="L658" s="90">
        <v>0</v>
      </c>
      <c r="M658" s="93"/>
      <c r="N658" s="90">
        <v>220000</v>
      </c>
      <c r="O658" s="93"/>
      <c r="P658" s="90">
        <v>100000</v>
      </c>
      <c r="Q658" s="93"/>
      <c r="R658" s="90">
        <v>0</v>
      </c>
    </row>
    <row r="659" spans="1:18" x14ac:dyDescent="0.15">
      <c r="C659" s="52" t="s">
        <v>323</v>
      </c>
      <c r="D659" s="52"/>
      <c r="E659" s="91"/>
      <c r="F659" s="75">
        <f>SUM(H659:L659)</f>
        <v>3949000</v>
      </c>
      <c r="G659" s="92"/>
      <c r="H659" s="90">
        <v>2310000</v>
      </c>
      <c r="I659" s="93"/>
      <c r="J659" s="90">
        <v>1639000</v>
      </c>
      <c r="K659" s="93"/>
      <c r="L659" s="90">
        <v>0</v>
      </c>
      <c r="M659" s="93"/>
      <c r="N659" s="90">
        <v>3127000</v>
      </c>
      <c r="O659" s="93"/>
      <c r="P659" s="90">
        <v>2201000</v>
      </c>
      <c r="Q659" s="93"/>
      <c r="R659" s="90">
        <v>1379000</v>
      </c>
    </row>
    <row r="660" spans="1:18" x14ac:dyDescent="0.15">
      <c r="C660" s="52" t="s">
        <v>324</v>
      </c>
      <c r="D660" s="52"/>
      <c r="E660" s="91"/>
      <c r="F660" s="75">
        <f>SUM(H660:L660)</f>
        <v>0</v>
      </c>
      <c r="G660" s="92"/>
      <c r="H660" s="90"/>
      <c r="I660" s="93"/>
      <c r="J660" s="90"/>
      <c r="K660" s="93"/>
      <c r="L660" s="90"/>
      <c r="M660" s="93"/>
      <c r="N660" s="90"/>
      <c r="O660" s="93"/>
      <c r="P660" s="90"/>
      <c r="Q660" s="93"/>
      <c r="R660" s="90"/>
    </row>
    <row r="661" spans="1:18" x14ac:dyDescent="0.15">
      <c r="C661" s="52"/>
      <c r="D661" s="52"/>
      <c r="E661" s="91" t="s">
        <v>51</v>
      </c>
      <c r="F661" s="75">
        <f>SUM(H661:L661)</f>
        <v>1321000</v>
      </c>
      <c r="G661" s="92"/>
      <c r="H661" s="90">
        <v>65000</v>
      </c>
      <c r="I661" s="93"/>
      <c r="J661" s="90">
        <v>1245000</v>
      </c>
      <c r="K661" s="93"/>
      <c r="L661" s="90">
        <v>11000</v>
      </c>
      <c r="M661" s="93"/>
      <c r="N661" s="90">
        <v>894000</v>
      </c>
      <c r="O661" s="93"/>
      <c r="P661" s="90">
        <v>3891000</v>
      </c>
      <c r="Q661" s="93"/>
      <c r="R661" s="90">
        <v>3464000</v>
      </c>
    </row>
    <row r="662" spans="1:18" x14ac:dyDescent="0.15">
      <c r="C662" s="52" t="s">
        <v>325</v>
      </c>
      <c r="D662" s="52"/>
      <c r="E662" s="91"/>
      <c r="F662" s="75">
        <f>SUM(H662:L662)</f>
        <v>273000</v>
      </c>
      <c r="G662" s="92"/>
      <c r="H662" s="90">
        <v>26000</v>
      </c>
      <c r="I662" s="93"/>
      <c r="J662" s="90">
        <v>245000</v>
      </c>
      <c r="K662" s="93"/>
      <c r="L662" s="90">
        <v>2000</v>
      </c>
      <c r="M662" s="93"/>
      <c r="N662" s="90">
        <v>164000</v>
      </c>
      <c r="O662" s="93"/>
      <c r="P662" s="90">
        <v>109000</v>
      </c>
      <c r="Q662" s="93"/>
      <c r="R662" s="90">
        <v>0</v>
      </c>
    </row>
    <row r="663" spans="1:18" x14ac:dyDescent="0.15">
      <c r="C663" s="52" t="s">
        <v>216</v>
      </c>
      <c r="D663" s="52"/>
      <c r="E663" s="91"/>
      <c r="H663" s="86">
        <v>252000</v>
      </c>
      <c r="J663" s="86">
        <v>142000</v>
      </c>
      <c r="L663" s="86">
        <v>0</v>
      </c>
      <c r="N663" s="86">
        <v>271000</v>
      </c>
      <c r="P663" s="86">
        <v>123000</v>
      </c>
      <c r="R663" s="86">
        <v>0</v>
      </c>
    </row>
    <row r="664" spans="1:18" x14ac:dyDescent="0.15">
      <c r="C664" s="52" t="s">
        <v>326</v>
      </c>
      <c r="D664" s="52"/>
      <c r="E664" s="91"/>
      <c r="F664" s="75">
        <f>SUM(H664:L664)</f>
        <v>1085000</v>
      </c>
      <c r="G664" s="92"/>
      <c r="H664" s="90">
        <v>346000</v>
      </c>
      <c r="I664" s="93"/>
      <c r="J664" s="90">
        <v>739000</v>
      </c>
      <c r="K664" s="93"/>
      <c r="L664" s="90">
        <v>0</v>
      </c>
      <c r="M664" s="93"/>
      <c r="N664" s="90">
        <v>3714000</v>
      </c>
      <c r="O664" s="93"/>
      <c r="P664" s="90">
        <v>8085000</v>
      </c>
      <c r="Q664" s="93"/>
      <c r="R664" s="90">
        <v>10714000</v>
      </c>
    </row>
    <row r="665" spans="1:18" x14ac:dyDescent="0.15">
      <c r="C665" s="52" t="s">
        <v>327</v>
      </c>
      <c r="D665" s="52"/>
      <c r="E665" s="91"/>
      <c r="F665" s="75">
        <f>SUM(H665:L665)</f>
        <v>8209000</v>
      </c>
      <c r="G665" s="92"/>
      <c r="H665" s="90">
        <v>721000</v>
      </c>
      <c r="I665" s="93"/>
      <c r="J665" s="90">
        <v>7488000</v>
      </c>
      <c r="K665" s="93"/>
      <c r="L665" s="90">
        <v>0</v>
      </c>
      <c r="M665" s="93"/>
      <c r="N665" s="90">
        <v>3368000</v>
      </c>
      <c r="O665" s="93"/>
      <c r="P665" s="90">
        <v>14352000</v>
      </c>
      <c r="Q665" s="93"/>
      <c r="R665" s="90">
        <v>9511000</v>
      </c>
    </row>
    <row r="666" spans="1:18" ht="14.25" customHeight="1" x14ac:dyDescent="0.15">
      <c r="C666" s="52" t="s">
        <v>328</v>
      </c>
      <c r="G666" s="69"/>
      <c r="H666" s="90"/>
      <c r="I666" s="90"/>
      <c r="J666" s="90"/>
      <c r="K666" s="90"/>
      <c r="L666" s="90"/>
      <c r="M666" s="90"/>
      <c r="N666" s="90"/>
      <c r="O666" s="90"/>
      <c r="P666" s="90"/>
      <c r="Q666" s="90"/>
      <c r="R666" s="90"/>
    </row>
    <row r="667" spans="1:18" x14ac:dyDescent="0.15">
      <c r="C667" s="86"/>
      <c r="E667" s="52" t="s">
        <v>329</v>
      </c>
      <c r="F667" s="75">
        <f>SUM(H667:L667)</f>
        <v>1733000</v>
      </c>
      <c r="G667" s="92"/>
      <c r="H667" s="90">
        <v>505000</v>
      </c>
      <c r="I667" s="93"/>
      <c r="J667" s="90">
        <v>1173000</v>
      </c>
      <c r="K667" s="93"/>
      <c r="L667" s="90">
        <v>55000</v>
      </c>
      <c r="M667" s="93"/>
      <c r="N667" s="90">
        <v>832000</v>
      </c>
      <c r="O667" s="93"/>
      <c r="P667" s="90">
        <v>901000</v>
      </c>
      <c r="Q667" s="93"/>
      <c r="R667" s="90">
        <v>0</v>
      </c>
    </row>
    <row r="668" spans="1:18" x14ac:dyDescent="0.15">
      <c r="C668" s="52" t="s">
        <v>330</v>
      </c>
      <c r="D668" s="52"/>
      <c r="E668" s="91"/>
      <c r="F668" s="75">
        <f>SUM(H668:L668)</f>
        <v>4681000</v>
      </c>
      <c r="G668" s="92"/>
      <c r="H668" s="90">
        <v>703000</v>
      </c>
      <c r="I668" s="93"/>
      <c r="J668" s="90">
        <v>3517000</v>
      </c>
      <c r="K668" s="93"/>
      <c r="L668" s="90">
        <v>461000</v>
      </c>
      <c r="M668" s="93"/>
      <c r="N668" s="90">
        <v>2915000</v>
      </c>
      <c r="O668" s="93"/>
      <c r="P668" s="90">
        <v>1777000</v>
      </c>
      <c r="Q668" s="93"/>
      <c r="R668" s="90">
        <v>11000</v>
      </c>
    </row>
    <row r="669" spans="1:18" x14ac:dyDescent="0.15">
      <c r="C669" s="52" t="s">
        <v>219</v>
      </c>
      <c r="D669" s="52"/>
      <c r="E669" s="91"/>
      <c r="F669" s="75">
        <f>SUM(H669:L669)</f>
        <v>165000</v>
      </c>
      <c r="G669" s="92"/>
      <c r="H669" s="90">
        <v>111000</v>
      </c>
      <c r="I669" s="93"/>
      <c r="J669" s="90">
        <v>48000</v>
      </c>
      <c r="K669" s="93"/>
      <c r="L669" s="90">
        <v>6000</v>
      </c>
      <c r="M669" s="93"/>
      <c r="N669" s="90">
        <v>118000</v>
      </c>
      <c r="O669" s="93"/>
      <c r="P669" s="90">
        <v>47000</v>
      </c>
      <c r="Q669" s="93"/>
      <c r="R669" s="90">
        <v>0</v>
      </c>
    </row>
    <row r="670" spans="1:18" x14ac:dyDescent="0.15">
      <c r="A670" s="53" t="s">
        <v>22</v>
      </c>
      <c r="C670" s="52" t="s">
        <v>220</v>
      </c>
      <c r="D670" s="52"/>
      <c r="E670" s="91"/>
      <c r="G670" s="69"/>
      <c r="H670" s="90">
        <v>72000</v>
      </c>
      <c r="I670" s="90"/>
      <c r="J670" s="90">
        <v>-30000</v>
      </c>
      <c r="K670" s="90"/>
      <c r="L670" s="90">
        <v>66000</v>
      </c>
      <c r="M670" s="90"/>
      <c r="N670" s="90">
        <v>323000</v>
      </c>
      <c r="O670" s="90"/>
      <c r="P670" s="90">
        <v>302000</v>
      </c>
      <c r="Q670" s="90"/>
      <c r="R670" s="90">
        <v>517000</v>
      </c>
    </row>
    <row r="671" spans="1:18" x14ac:dyDescent="0.15">
      <c r="C671" s="52" t="s">
        <v>287</v>
      </c>
      <c r="D671" s="52"/>
      <c r="E671" s="91"/>
      <c r="F671" s="75">
        <f>SUM(H671:L671)</f>
        <v>0</v>
      </c>
      <c r="G671" s="92"/>
      <c r="H671" s="90"/>
      <c r="I671" s="93"/>
      <c r="J671" s="90"/>
      <c r="K671" s="93"/>
      <c r="L671" s="90"/>
      <c r="M671" s="93"/>
      <c r="N671" s="90"/>
      <c r="O671" s="93"/>
      <c r="P671" s="90"/>
      <c r="Q671" s="93"/>
      <c r="R671" s="90"/>
    </row>
    <row r="672" spans="1:18" x14ac:dyDescent="0.15">
      <c r="C672" s="52"/>
      <c r="D672" s="52"/>
      <c r="E672" s="91" t="s">
        <v>288</v>
      </c>
      <c r="F672" s="75">
        <f>SUM(H672:L672)</f>
        <v>213000</v>
      </c>
      <c r="G672" s="92"/>
      <c r="H672" s="90">
        <v>0</v>
      </c>
      <c r="I672" s="93"/>
      <c r="J672" s="90">
        <v>0</v>
      </c>
      <c r="K672" s="93"/>
      <c r="L672" s="90">
        <v>213000</v>
      </c>
      <c r="M672" s="93"/>
      <c r="N672" s="90">
        <v>115000</v>
      </c>
      <c r="O672" s="93"/>
      <c r="P672" s="90">
        <v>98000</v>
      </c>
      <c r="Q672" s="93"/>
      <c r="R672" s="90">
        <v>0</v>
      </c>
    </row>
    <row r="673" spans="2:18" x14ac:dyDescent="0.15">
      <c r="C673" s="52" t="s">
        <v>332</v>
      </c>
      <c r="D673" s="52"/>
      <c r="E673" s="91"/>
      <c r="F673" s="75">
        <f>SUM(H673:L673)</f>
        <v>64406000</v>
      </c>
      <c r="G673" s="92"/>
      <c r="H673" s="90">
        <v>40288000</v>
      </c>
      <c r="I673" s="93"/>
      <c r="J673" s="90">
        <v>8489000</v>
      </c>
      <c r="K673" s="93"/>
      <c r="L673" s="90">
        <v>15629000</v>
      </c>
      <c r="M673" s="93"/>
      <c r="N673" s="90">
        <v>26991000</v>
      </c>
      <c r="O673" s="93"/>
      <c r="P673" s="90">
        <v>37415000</v>
      </c>
      <c r="Q673" s="93"/>
      <c r="R673" s="90">
        <v>0</v>
      </c>
    </row>
    <row r="674" spans="2:18" x14ac:dyDescent="0.15">
      <c r="C674" s="52" t="s">
        <v>232</v>
      </c>
      <c r="D674" s="52"/>
      <c r="E674" s="91"/>
      <c r="G674" s="69"/>
      <c r="H674" s="86">
        <v>701000</v>
      </c>
      <c r="I674" s="90"/>
      <c r="J674" s="86">
        <v>17000</v>
      </c>
      <c r="K674" s="90"/>
      <c r="L674" s="86">
        <v>829000</v>
      </c>
      <c r="M674" s="90"/>
      <c r="N674" s="86">
        <v>910000</v>
      </c>
      <c r="O674" s="90"/>
      <c r="P674" s="86">
        <v>637000</v>
      </c>
      <c r="Q674" s="90"/>
      <c r="R674" s="86">
        <v>0</v>
      </c>
    </row>
    <row r="675" spans="2:18" ht="12" customHeight="1" x14ac:dyDescent="0.15">
      <c r="C675" s="52" t="s">
        <v>233</v>
      </c>
      <c r="D675" s="52"/>
      <c r="E675" s="91"/>
      <c r="F675" s="75">
        <f>SUM(H675:L675)</f>
        <v>1960000</v>
      </c>
      <c r="G675" s="92"/>
      <c r="H675" s="90">
        <v>1070000</v>
      </c>
      <c r="I675" s="93"/>
      <c r="J675" s="90">
        <v>79000</v>
      </c>
      <c r="K675" s="93"/>
      <c r="L675" s="90">
        <v>811000</v>
      </c>
      <c r="M675" s="93"/>
      <c r="N675" s="90">
        <v>1081000</v>
      </c>
      <c r="O675" s="93"/>
      <c r="P675" s="90">
        <v>889000</v>
      </c>
      <c r="Q675" s="93"/>
      <c r="R675" s="90">
        <v>10000</v>
      </c>
    </row>
    <row r="676" spans="2:18" x14ac:dyDescent="0.15">
      <c r="C676" s="52" t="s">
        <v>333</v>
      </c>
      <c r="F676" s="75">
        <f>SUM(H676:L676)</f>
        <v>0</v>
      </c>
      <c r="G676" s="92"/>
      <c r="H676" s="90"/>
      <c r="I676" s="93"/>
      <c r="J676" s="90"/>
      <c r="K676" s="93"/>
      <c r="L676" s="90"/>
      <c r="M676" s="93"/>
      <c r="N676" s="90"/>
      <c r="O676" s="93"/>
      <c r="P676" s="90"/>
      <c r="Q676" s="93"/>
      <c r="R676" s="90"/>
    </row>
    <row r="677" spans="2:18" x14ac:dyDescent="0.15">
      <c r="B677" s="79"/>
      <c r="C677" s="52"/>
      <c r="D677" s="52"/>
      <c r="E677" s="91" t="s">
        <v>334</v>
      </c>
      <c r="F677" s="75">
        <f>SUM(H677:L677)</f>
        <v>92000</v>
      </c>
      <c r="G677" s="92"/>
      <c r="H677" s="90">
        <v>92000</v>
      </c>
      <c r="I677" s="93"/>
      <c r="J677" s="90">
        <v>0</v>
      </c>
      <c r="K677" s="93"/>
      <c r="L677" s="90">
        <v>0</v>
      </c>
      <c r="M677" s="93"/>
      <c r="N677" s="90">
        <v>66000</v>
      </c>
      <c r="O677" s="93"/>
      <c r="P677" s="90">
        <v>26000</v>
      </c>
      <c r="Q677" s="93"/>
      <c r="R677" s="90">
        <v>0</v>
      </c>
    </row>
    <row r="678" spans="2:18" x14ac:dyDescent="0.15">
      <c r="C678" s="52" t="s">
        <v>335</v>
      </c>
      <c r="D678" s="52"/>
      <c r="E678" s="91"/>
      <c r="F678" s="75">
        <f>SUM(H678:L678)</f>
        <v>2409000</v>
      </c>
      <c r="G678" s="92"/>
      <c r="H678" s="90">
        <v>2610000</v>
      </c>
      <c r="I678" s="93"/>
      <c r="J678" s="90">
        <v>-201000</v>
      </c>
      <c r="K678" s="93"/>
      <c r="L678" s="90">
        <v>0</v>
      </c>
      <c r="M678" s="93"/>
      <c r="N678" s="90">
        <v>2365000</v>
      </c>
      <c r="O678" s="93"/>
      <c r="P678" s="90">
        <v>3718000</v>
      </c>
      <c r="Q678" s="93"/>
      <c r="R678" s="90">
        <v>3674000</v>
      </c>
    </row>
    <row r="679" spans="2:18" x14ac:dyDescent="0.15">
      <c r="C679" s="52" t="s">
        <v>336</v>
      </c>
      <c r="D679" s="52"/>
      <c r="E679" s="91"/>
      <c r="F679" s="75">
        <f>SUM(H679:L679)</f>
        <v>1992000</v>
      </c>
      <c r="G679" s="92"/>
      <c r="H679" s="90">
        <v>0</v>
      </c>
      <c r="I679" s="93"/>
      <c r="J679" s="90">
        <v>1992000</v>
      </c>
      <c r="K679" s="93"/>
      <c r="L679" s="90">
        <v>0</v>
      </c>
      <c r="M679" s="93"/>
      <c r="N679" s="90">
        <v>1268000</v>
      </c>
      <c r="O679" s="93"/>
      <c r="P679" s="90">
        <v>724000</v>
      </c>
      <c r="Q679" s="93"/>
      <c r="R679" s="90">
        <v>0</v>
      </c>
    </row>
    <row r="680" spans="2:18" x14ac:dyDescent="0.15">
      <c r="C680" s="52" t="s">
        <v>234</v>
      </c>
      <c r="D680" s="52"/>
      <c r="E680" s="91"/>
      <c r="G680" s="69"/>
      <c r="H680" s="90">
        <v>469000</v>
      </c>
      <c r="I680" s="90"/>
      <c r="J680" s="90">
        <v>-3746000</v>
      </c>
      <c r="K680" s="90"/>
      <c r="L680" s="90">
        <v>141000</v>
      </c>
      <c r="M680" s="90"/>
      <c r="N680" s="90">
        <v>131000</v>
      </c>
      <c r="O680" s="90"/>
      <c r="P680" s="90">
        <v>-3049000</v>
      </c>
      <c r="Q680" s="90"/>
      <c r="R680" s="90">
        <v>218000</v>
      </c>
    </row>
    <row r="681" spans="2:18" x14ac:dyDescent="0.15">
      <c r="C681" s="52" t="s">
        <v>337</v>
      </c>
      <c r="D681" s="52"/>
      <c r="E681" s="91"/>
      <c r="F681" s="75">
        <f>SUM(H681:L681)</f>
        <v>0</v>
      </c>
      <c r="G681" s="92"/>
      <c r="H681" s="90"/>
      <c r="I681" s="93"/>
      <c r="J681" s="90"/>
      <c r="K681" s="93"/>
      <c r="L681" s="90"/>
      <c r="M681" s="93"/>
      <c r="N681" s="90"/>
      <c r="O681" s="93"/>
      <c r="P681" s="90"/>
      <c r="Q681" s="93"/>
      <c r="R681" s="90"/>
    </row>
    <row r="682" spans="2:18" x14ac:dyDescent="0.15">
      <c r="C682" s="52"/>
      <c r="D682" s="52"/>
      <c r="E682" s="91" t="s">
        <v>338</v>
      </c>
      <c r="F682" s="75">
        <f>SUM(H682:L682)</f>
        <v>3546000</v>
      </c>
      <c r="G682" s="92"/>
      <c r="H682" s="90">
        <v>1166000</v>
      </c>
      <c r="I682" s="93"/>
      <c r="J682" s="90">
        <v>2295000</v>
      </c>
      <c r="K682" s="93"/>
      <c r="L682" s="90">
        <v>85000</v>
      </c>
      <c r="M682" s="93"/>
      <c r="N682" s="90">
        <v>2035000</v>
      </c>
      <c r="O682" s="93"/>
      <c r="P682" s="90">
        <v>1520000</v>
      </c>
      <c r="Q682" s="93"/>
      <c r="R682" s="90">
        <v>9000</v>
      </c>
    </row>
    <row r="683" spans="2:18" x14ac:dyDescent="0.15">
      <c r="C683" s="52" t="s">
        <v>339</v>
      </c>
      <c r="D683" s="52"/>
      <c r="E683" s="91"/>
      <c r="F683" s="75">
        <f>SUM(H683:L683)</f>
        <v>4809000</v>
      </c>
      <c r="G683" s="92"/>
      <c r="H683" s="90">
        <v>2000</v>
      </c>
      <c r="I683" s="93"/>
      <c r="J683" s="90">
        <v>4807000</v>
      </c>
      <c r="K683" s="93"/>
      <c r="L683" s="90">
        <v>0</v>
      </c>
      <c r="M683" s="93"/>
      <c r="N683" s="90">
        <v>3531000</v>
      </c>
      <c r="O683" s="93"/>
      <c r="P683" s="90">
        <v>1278000</v>
      </c>
      <c r="Q683" s="93"/>
      <c r="R683" s="90">
        <v>0</v>
      </c>
    </row>
    <row r="684" spans="2:18" x14ac:dyDescent="0.15">
      <c r="C684" s="52" t="s">
        <v>340</v>
      </c>
      <c r="D684" s="52"/>
      <c r="E684" s="91"/>
      <c r="F684" s="75">
        <f>SUM(H684:L684)</f>
        <v>2000</v>
      </c>
      <c r="G684" s="92"/>
      <c r="H684" s="90">
        <v>0</v>
      </c>
      <c r="I684" s="93"/>
      <c r="J684" s="90">
        <v>2000</v>
      </c>
      <c r="K684" s="93"/>
      <c r="L684" s="90">
        <v>0</v>
      </c>
      <c r="M684" s="93"/>
      <c r="N684" s="90">
        <v>1000</v>
      </c>
      <c r="O684" s="93"/>
      <c r="P684" s="90">
        <v>1000</v>
      </c>
      <c r="Q684" s="93"/>
      <c r="R684" s="90">
        <v>0</v>
      </c>
    </row>
    <row r="685" spans="2:18" x14ac:dyDescent="0.15">
      <c r="C685" s="52" t="s">
        <v>341</v>
      </c>
      <c r="D685" s="52"/>
      <c r="E685" s="91"/>
      <c r="G685" s="69"/>
      <c r="H685" s="90">
        <v>562000</v>
      </c>
      <c r="I685" s="90"/>
      <c r="J685" s="90">
        <v>429000</v>
      </c>
      <c r="K685" s="90"/>
      <c r="L685" s="90">
        <v>125000</v>
      </c>
      <c r="M685" s="90"/>
      <c r="N685" s="90">
        <v>622000</v>
      </c>
      <c r="O685" s="90"/>
      <c r="P685" s="90">
        <v>494000</v>
      </c>
      <c r="Q685" s="90"/>
      <c r="R685" s="90">
        <v>0</v>
      </c>
    </row>
    <row r="686" spans="2:18" x14ac:dyDescent="0.15">
      <c r="C686" s="52" t="s">
        <v>236</v>
      </c>
      <c r="D686" s="52"/>
      <c r="F686" s="75">
        <f t="shared" ref="F686:F690" si="23">SUM(H686:L686)</f>
        <v>-148000</v>
      </c>
      <c r="G686" s="92"/>
      <c r="H686" s="90">
        <v>0</v>
      </c>
      <c r="I686" s="93"/>
      <c r="J686" s="90">
        <v>-148000</v>
      </c>
      <c r="K686" s="93"/>
      <c r="L686" s="90">
        <v>0</v>
      </c>
      <c r="M686" s="93"/>
      <c r="N686" s="90">
        <v>863000</v>
      </c>
      <c r="O686" s="93"/>
      <c r="P686" s="90">
        <v>611000</v>
      </c>
      <c r="Q686" s="93"/>
      <c r="R686" s="90">
        <v>1622000</v>
      </c>
    </row>
    <row r="687" spans="2:18" x14ac:dyDescent="0.15">
      <c r="C687" s="52" t="s">
        <v>318</v>
      </c>
      <c r="D687" s="52"/>
      <c r="E687" s="91"/>
      <c r="F687" s="75">
        <f t="shared" si="23"/>
        <v>2254000</v>
      </c>
      <c r="G687" s="92"/>
      <c r="H687" s="90">
        <v>830000</v>
      </c>
      <c r="I687" s="93"/>
      <c r="J687" s="90">
        <v>280000</v>
      </c>
      <c r="K687" s="93"/>
      <c r="L687" s="90">
        <v>1144000</v>
      </c>
      <c r="M687" s="93"/>
      <c r="N687" s="90">
        <v>1380000</v>
      </c>
      <c r="O687" s="93"/>
      <c r="P687" s="90">
        <v>881000</v>
      </c>
      <c r="Q687" s="93"/>
      <c r="R687" s="90">
        <v>7000</v>
      </c>
    </row>
    <row r="688" spans="2:18" x14ac:dyDescent="0.15">
      <c r="C688" s="52" t="s">
        <v>303</v>
      </c>
      <c r="D688" s="52"/>
      <c r="E688" s="91"/>
      <c r="F688" s="75">
        <f t="shared" si="23"/>
        <v>801000</v>
      </c>
      <c r="G688" s="92"/>
      <c r="H688" s="90">
        <v>504000</v>
      </c>
      <c r="I688" s="93"/>
      <c r="J688" s="90">
        <v>22000</v>
      </c>
      <c r="K688" s="93"/>
      <c r="L688" s="90">
        <v>275000</v>
      </c>
      <c r="M688" s="93"/>
      <c r="N688" s="90">
        <v>516000</v>
      </c>
      <c r="O688" s="93"/>
      <c r="P688" s="90">
        <v>285000</v>
      </c>
      <c r="Q688" s="93"/>
      <c r="R688" s="90">
        <v>0</v>
      </c>
    </row>
    <row r="689" spans="1:18" x14ac:dyDescent="0.15">
      <c r="C689" s="52" t="s">
        <v>342</v>
      </c>
      <c r="D689" s="52"/>
      <c r="E689" s="91"/>
      <c r="F689" s="75">
        <f t="shared" si="23"/>
        <v>417000</v>
      </c>
      <c r="G689" s="92"/>
      <c r="H689" s="90">
        <v>425000</v>
      </c>
      <c r="I689" s="93"/>
      <c r="J689" s="90">
        <v>-8000</v>
      </c>
      <c r="K689" s="93"/>
      <c r="L689" s="90">
        <v>0</v>
      </c>
      <c r="M689" s="93"/>
      <c r="N689" s="90">
        <v>253000</v>
      </c>
      <c r="O689" s="93"/>
      <c r="P689" s="90">
        <v>2640000</v>
      </c>
      <c r="Q689" s="93"/>
      <c r="R689" s="90">
        <v>2476000</v>
      </c>
    </row>
    <row r="690" spans="1:18" x14ac:dyDescent="0.15">
      <c r="C690" s="52" t="s">
        <v>244</v>
      </c>
      <c r="D690" s="52"/>
      <c r="E690" s="91"/>
      <c r="F690" s="94">
        <f t="shared" si="23"/>
        <v>60000</v>
      </c>
      <c r="G690" s="69"/>
      <c r="H690" s="95">
        <v>84000</v>
      </c>
      <c r="I690" s="90"/>
      <c r="J690" s="95">
        <v>-159000</v>
      </c>
      <c r="K690" s="90"/>
      <c r="L690" s="95">
        <v>135000</v>
      </c>
      <c r="M690" s="90"/>
      <c r="N690" s="95">
        <v>-14000</v>
      </c>
      <c r="O690" s="90"/>
      <c r="P690" s="95">
        <v>74000</v>
      </c>
      <c r="Q690" s="90"/>
      <c r="R690" s="95">
        <v>0</v>
      </c>
    </row>
    <row r="691" spans="1:18" x14ac:dyDescent="0.15"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</row>
    <row r="692" spans="1:18" x14ac:dyDescent="0.15">
      <c r="E692" s="52" t="s">
        <v>3</v>
      </c>
      <c r="F692" s="94">
        <f>SUM(H692:L692)</f>
        <v>104578000</v>
      </c>
      <c r="G692" s="69"/>
      <c r="H692" s="94">
        <f>SUM(H658:H691)</f>
        <v>54234000</v>
      </c>
      <c r="I692" s="75"/>
      <c r="J692" s="94">
        <f t="shared" ref="J692:R692" si="24">SUM(J658:J691)</f>
        <v>30356000</v>
      </c>
      <c r="K692" s="94">
        <f t="shared" si="24"/>
        <v>0</v>
      </c>
      <c r="L692" s="94">
        <f t="shared" si="24"/>
        <v>19988000</v>
      </c>
      <c r="M692" s="94">
        <f t="shared" si="24"/>
        <v>0</v>
      </c>
      <c r="N692" s="94">
        <f t="shared" si="24"/>
        <v>58060000</v>
      </c>
      <c r="O692" s="94">
        <f t="shared" si="24"/>
        <v>0</v>
      </c>
      <c r="P692" s="94">
        <f t="shared" si="24"/>
        <v>80130000</v>
      </c>
      <c r="Q692" s="94">
        <f t="shared" si="24"/>
        <v>0</v>
      </c>
      <c r="R692" s="94">
        <f t="shared" si="24"/>
        <v>33612000</v>
      </c>
    </row>
    <row r="693" spans="1:18" x14ac:dyDescent="0.15"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</row>
    <row r="694" spans="1:18" x14ac:dyDescent="0.15">
      <c r="E694" s="52" t="s">
        <v>343</v>
      </c>
      <c r="F694" s="94">
        <f>SUM(H694:L694)</f>
        <v>399509000</v>
      </c>
      <c r="G694" s="69"/>
      <c r="H694" s="94">
        <f>+H537+H626+H655+H692</f>
        <v>-142648000</v>
      </c>
      <c r="I694" s="75"/>
      <c r="J694" s="94">
        <f>+J537+J626+J655+J692</f>
        <v>283558000</v>
      </c>
      <c r="K694" s="75"/>
      <c r="L694" s="94">
        <f>+L537+L626+L655+L692</f>
        <v>258599000</v>
      </c>
      <c r="M694" s="75"/>
      <c r="N694" s="94">
        <f>+N537+N626+N655+N692</f>
        <v>187802000</v>
      </c>
      <c r="O694" s="75"/>
      <c r="P694" s="94">
        <f>+P537+P626+P655+P692</f>
        <v>248291000</v>
      </c>
      <c r="Q694" s="75"/>
      <c r="R694" s="94">
        <f>+R537+R626+R655+R692</f>
        <v>36584000</v>
      </c>
    </row>
    <row r="695" spans="1:18" x14ac:dyDescent="0.15">
      <c r="G695" s="69"/>
      <c r="H695" s="75"/>
      <c r="I695" s="75"/>
      <c r="J695" s="75"/>
      <c r="K695" s="75"/>
      <c r="L695" s="75"/>
      <c r="M695" s="75"/>
      <c r="N695" s="75"/>
      <c r="O695" s="75"/>
      <c r="P695" s="75"/>
      <c r="Q695" s="75"/>
      <c r="R695" s="75"/>
    </row>
    <row r="696" spans="1:18" x14ac:dyDescent="0.15">
      <c r="A696" s="79" t="s">
        <v>344</v>
      </c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</row>
    <row r="697" spans="1:18" x14ac:dyDescent="0.15">
      <c r="A697" s="88"/>
      <c r="B697" s="88"/>
      <c r="C697" s="88"/>
      <c r="D697" s="88"/>
      <c r="E697" s="88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</row>
    <row r="698" spans="1:18" x14ac:dyDescent="0.15">
      <c r="A698" s="88"/>
      <c r="B698" s="53" t="s">
        <v>345</v>
      </c>
      <c r="C698" s="88"/>
      <c r="D698" s="88"/>
      <c r="E698" s="88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</row>
    <row r="699" spans="1:18" x14ac:dyDescent="0.15">
      <c r="B699" s="78"/>
      <c r="C699" s="53" t="s">
        <v>33</v>
      </c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</row>
    <row r="700" spans="1:18" x14ac:dyDescent="0.15">
      <c r="C700" s="53" t="s">
        <v>346</v>
      </c>
      <c r="F700" s="75">
        <f>SUM(H700:L700)</f>
        <v>868000</v>
      </c>
      <c r="G700" s="92"/>
      <c r="H700" s="90">
        <v>47000</v>
      </c>
      <c r="I700" s="93"/>
      <c r="J700" s="90">
        <v>819000</v>
      </c>
      <c r="K700" s="93"/>
      <c r="L700" s="90">
        <v>2000</v>
      </c>
      <c r="M700" s="93"/>
      <c r="N700" s="90">
        <v>517000</v>
      </c>
      <c r="O700" s="93"/>
      <c r="P700" s="90">
        <v>351000</v>
      </c>
      <c r="Q700" s="93"/>
      <c r="R700" s="90">
        <v>0</v>
      </c>
    </row>
    <row r="701" spans="1:18" x14ac:dyDescent="0.15">
      <c r="C701" s="53" t="s">
        <v>347</v>
      </c>
      <c r="F701" s="75">
        <f t="shared" ref="F701:F703" si="25">SUM(H701:L701)</f>
        <v>0</v>
      </c>
      <c r="G701" s="92"/>
      <c r="H701" s="90"/>
      <c r="I701" s="93"/>
      <c r="J701" s="90"/>
      <c r="K701" s="93"/>
      <c r="L701" s="90"/>
      <c r="M701" s="93"/>
      <c r="N701" s="90"/>
      <c r="O701" s="93"/>
      <c r="P701" s="90"/>
      <c r="Q701" s="93"/>
      <c r="R701" s="90"/>
    </row>
    <row r="702" spans="1:18" x14ac:dyDescent="0.15">
      <c r="C702" s="53" t="s">
        <v>348</v>
      </c>
      <c r="F702" s="75">
        <f t="shared" si="25"/>
        <v>4204000</v>
      </c>
      <c r="G702" s="92"/>
      <c r="H702" s="90">
        <v>0</v>
      </c>
      <c r="I702" s="93"/>
      <c r="J702" s="90">
        <v>4200000</v>
      </c>
      <c r="K702" s="93"/>
      <c r="L702" s="90">
        <v>4000</v>
      </c>
      <c r="M702" s="93"/>
      <c r="N702" s="90">
        <v>10276000</v>
      </c>
      <c r="O702" s="93"/>
      <c r="P702" s="90">
        <v>6218000</v>
      </c>
      <c r="Q702" s="93"/>
      <c r="R702" s="90">
        <v>12290000</v>
      </c>
    </row>
    <row r="703" spans="1:18" x14ac:dyDescent="0.15">
      <c r="C703" s="52" t="s">
        <v>349</v>
      </c>
      <c r="F703" s="75">
        <f t="shared" si="25"/>
        <v>3000</v>
      </c>
      <c r="G703" s="92"/>
      <c r="H703" s="90">
        <v>0</v>
      </c>
      <c r="I703" s="93"/>
      <c r="J703" s="90">
        <v>3000</v>
      </c>
      <c r="K703" s="93"/>
      <c r="L703" s="90">
        <v>0</v>
      </c>
      <c r="M703" s="93"/>
      <c r="N703" s="90">
        <v>2000</v>
      </c>
      <c r="O703" s="93"/>
      <c r="P703" s="90">
        <v>1000</v>
      </c>
      <c r="Q703" s="93"/>
      <c r="R703" s="90">
        <v>0</v>
      </c>
    </row>
    <row r="704" spans="1:18" x14ac:dyDescent="0.15">
      <c r="C704" s="52" t="s">
        <v>350</v>
      </c>
      <c r="G704" s="92"/>
      <c r="H704" s="90"/>
      <c r="I704" s="93"/>
      <c r="J704" s="90"/>
      <c r="K704" s="93"/>
      <c r="L704" s="90"/>
      <c r="M704" s="93"/>
      <c r="N704" s="90"/>
      <c r="O704" s="93"/>
      <c r="P704" s="90"/>
      <c r="Q704" s="93"/>
      <c r="R704" s="90"/>
    </row>
    <row r="705" spans="1:18" x14ac:dyDescent="0.15">
      <c r="C705" s="53" t="s">
        <v>351</v>
      </c>
      <c r="D705" s="52"/>
      <c r="E705" s="52" t="s">
        <v>352</v>
      </c>
      <c r="F705" s="94">
        <f>SUM(H705:L705)</f>
        <v>1324000</v>
      </c>
      <c r="G705" s="69"/>
      <c r="H705" s="95">
        <v>7000</v>
      </c>
      <c r="I705" s="93"/>
      <c r="J705" s="95">
        <v>818000</v>
      </c>
      <c r="K705" s="93"/>
      <c r="L705" s="95">
        <v>499000</v>
      </c>
      <c r="M705" s="93"/>
      <c r="N705" s="95">
        <v>807000</v>
      </c>
      <c r="O705" s="93"/>
      <c r="P705" s="95">
        <v>517000</v>
      </c>
      <c r="Q705" s="93"/>
      <c r="R705" s="95">
        <v>0</v>
      </c>
    </row>
    <row r="706" spans="1:18" x14ac:dyDescent="0.15"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</row>
    <row r="707" spans="1:18" x14ac:dyDescent="0.15">
      <c r="E707" s="52" t="s">
        <v>3</v>
      </c>
      <c r="F707" s="94">
        <f>SUM(H707:L707)</f>
        <v>6399000</v>
      </c>
      <c r="G707" s="69"/>
      <c r="H707" s="94">
        <f>SUM(H700:H706)</f>
        <v>54000</v>
      </c>
      <c r="I707" s="75"/>
      <c r="J707" s="94">
        <f>SUM(J700:J706)</f>
        <v>5840000</v>
      </c>
      <c r="K707" s="75"/>
      <c r="L707" s="94">
        <f>SUM(L700:L706)</f>
        <v>505000</v>
      </c>
      <c r="M707" s="75"/>
      <c r="N707" s="94">
        <f>SUM(N700:N706)</f>
        <v>11602000</v>
      </c>
      <c r="O707" s="75"/>
      <c r="P707" s="94">
        <f>SUM(P700:P706)</f>
        <v>7087000</v>
      </c>
      <c r="Q707" s="75"/>
      <c r="R707" s="94">
        <f>SUM(R700:R706)</f>
        <v>12290000</v>
      </c>
    </row>
    <row r="708" spans="1:18" x14ac:dyDescent="0.15">
      <c r="A708" s="88"/>
      <c r="B708" s="88"/>
      <c r="C708" s="88"/>
      <c r="D708" s="88"/>
      <c r="E708" s="88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</row>
    <row r="709" spans="1:18" x14ac:dyDescent="0.15">
      <c r="A709" s="88"/>
      <c r="B709" s="53" t="s">
        <v>353</v>
      </c>
      <c r="C709" s="88"/>
      <c r="D709" s="88"/>
      <c r="E709" s="88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</row>
    <row r="710" spans="1:18" x14ac:dyDescent="0.15">
      <c r="B710" s="78"/>
      <c r="C710" s="53" t="s">
        <v>354</v>
      </c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</row>
    <row r="711" spans="1:18" x14ac:dyDescent="0.15">
      <c r="B711" s="78"/>
      <c r="C711" s="53" t="s">
        <v>355</v>
      </c>
      <c r="F711" s="94">
        <f>SUM(H711:L711)</f>
        <v>2991000</v>
      </c>
      <c r="G711" s="69"/>
      <c r="H711" s="95">
        <v>1000</v>
      </c>
      <c r="I711" s="90"/>
      <c r="J711" s="95">
        <v>2871000</v>
      </c>
      <c r="K711" s="90"/>
      <c r="L711" s="95">
        <v>119000</v>
      </c>
      <c r="M711" s="90"/>
      <c r="N711" s="95">
        <v>1662000</v>
      </c>
      <c r="O711" s="90"/>
      <c r="P711" s="95">
        <v>1348000</v>
      </c>
      <c r="Q711" s="90"/>
      <c r="R711" s="95">
        <v>19000</v>
      </c>
    </row>
    <row r="712" spans="1:18" x14ac:dyDescent="0.15">
      <c r="B712" s="78"/>
    </row>
    <row r="713" spans="1:18" x14ac:dyDescent="0.15">
      <c r="C713" s="52" t="s">
        <v>356</v>
      </c>
      <c r="D713" s="52"/>
      <c r="E713" s="91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</row>
    <row r="714" spans="1:18" x14ac:dyDescent="0.15">
      <c r="E714" s="52" t="s">
        <v>357</v>
      </c>
      <c r="F714" s="75">
        <f>SUM(H714:L714)</f>
        <v>711000</v>
      </c>
      <c r="G714" s="92"/>
      <c r="H714" s="90">
        <v>0</v>
      </c>
      <c r="I714" s="93"/>
      <c r="J714" s="90">
        <v>583000</v>
      </c>
      <c r="K714" s="93"/>
      <c r="L714" s="90">
        <v>128000</v>
      </c>
      <c r="M714" s="93"/>
      <c r="N714" s="90">
        <v>414000</v>
      </c>
      <c r="O714" s="93"/>
      <c r="P714" s="90">
        <v>297000</v>
      </c>
      <c r="Q714" s="93"/>
      <c r="R714" s="90">
        <v>0</v>
      </c>
    </row>
    <row r="715" spans="1:18" x14ac:dyDescent="0.15">
      <c r="E715" s="52" t="s">
        <v>358</v>
      </c>
      <c r="F715" s="94">
        <f>SUM(H715:L715)</f>
        <v>1528000</v>
      </c>
      <c r="G715" s="69"/>
      <c r="H715" s="95">
        <v>0</v>
      </c>
      <c r="I715" s="90"/>
      <c r="J715" s="95">
        <v>708000</v>
      </c>
      <c r="K715" s="90"/>
      <c r="L715" s="95">
        <v>820000</v>
      </c>
      <c r="M715" s="90"/>
      <c r="N715" s="95">
        <v>429000</v>
      </c>
      <c r="O715" s="90"/>
      <c r="P715" s="95">
        <v>1109000</v>
      </c>
      <c r="Q715" s="90"/>
      <c r="R715" s="95">
        <v>10000</v>
      </c>
    </row>
    <row r="716" spans="1:18" x14ac:dyDescent="0.15"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</row>
    <row r="717" spans="1:18" x14ac:dyDescent="0.15">
      <c r="E717" s="52" t="s">
        <v>3</v>
      </c>
      <c r="F717" s="94">
        <f>SUM(H717:L717)</f>
        <v>2239000</v>
      </c>
      <c r="G717" s="69"/>
      <c r="H717" s="94">
        <f>SUM(H714:H716)</f>
        <v>0</v>
      </c>
      <c r="I717" s="75"/>
      <c r="J717" s="94">
        <f>SUM(J714:J716)</f>
        <v>1291000</v>
      </c>
      <c r="K717" s="75"/>
      <c r="L717" s="94">
        <f>SUM(L714:L716)</f>
        <v>948000</v>
      </c>
      <c r="M717" s="75"/>
      <c r="N717" s="94">
        <f>SUM(N714:N716)</f>
        <v>843000</v>
      </c>
      <c r="O717" s="75"/>
      <c r="P717" s="94">
        <f>SUM(P714:P716)</f>
        <v>1406000</v>
      </c>
      <c r="Q717" s="75"/>
      <c r="R717" s="94">
        <f>SUM(R714:R716)</f>
        <v>10000</v>
      </c>
    </row>
    <row r="718" spans="1:18" x14ac:dyDescent="0.15">
      <c r="B718" s="7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</row>
    <row r="719" spans="1:18" x14ac:dyDescent="0.15">
      <c r="C719" s="52" t="s">
        <v>359</v>
      </c>
      <c r="D719" s="52"/>
      <c r="E719" s="91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</row>
    <row r="720" spans="1:18" x14ac:dyDescent="0.15">
      <c r="E720" s="52" t="s">
        <v>360</v>
      </c>
      <c r="F720" s="75">
        <f>SUM(H720:L720)</f>
        <v>285000</v>
      </c>
      <c r="G720" s="92"/>
      <c r="H720" s="90">
        <v>0</v>
      </c>
      <c r="I720" s="93"/>
      <c r="J720" s="90">
        <v>161000</v>
      </c>
      <c r="K720" s="93"/>
      <c r="L720" s="90">
        <v>124000</v>
      </c>
      <c r="M720" s="93"/>
      <c r="N720" s="90">
        <v>427000</v>
      </c>
      <c r="O720" s="93"/>
      <c r="P720" s="90">
        <v>-142000</v>
      </c>
      <c r="Q720" s="93"/>
      <c r="R720" s="90">
        <v>0</v>
      </c>
    </row>
    <row r="721" spans="3:18" x14ac:dyDescent="0.15">
      <c r="E721" s="52" t="s">
        <v>361</v>
      </c>
      <c r="G721" s="69"/>
      <c r="H721" s="90"/>
      <c r="I721" s="90"/>
      <c r="J721" s="90"/>
      <c r="K721" s="90"/>
      <c r="L721" s="90"/>
      <c r="M721" s="90"/>
      <c r="N721" s="90"/>
      <c r="O721" s="90"/>
      <c r="P721" s="90"/>
      <c r="Q721" s="90"/>
      <c r="R721" s="90"/>
    </row>
    <row r="722" spans="3:18" x14ac:dyDescent="0.15">
      <c r="E722" s="52" t="s">
        <v>362</v>
      </c>
      <c r="F722" s="75">
        <f t="shared" ref="F722:F727" si="26">SUM(H722:L722)</f>
        <v>1061000</v>
      </c>
      <c r="G722" s="92"/>
      <c r="H722" s="90">
        <v>323000</v>
      </c>
      <c r="I722" s="93"/>
      <c r="J722" s="90">
        <v>680000</v>
      </c>
      <c r="K722" s="93"/>
      <c r="L722" s="90">
        <v>58000</v>
      </c>
      <c r="M722" s="93"/>
      <c r="N722" s="90">
        <v>630000</v>
      </c>
      <c r="O722" s="93"/>
      <c r="P722" s="90">
        <v>431000</v>
      </c>
      <c r="Q722" s="93"/>
      <c r="R722" s="90">
        <v>0</v>
      </c>
    </row>
    <row r="723" spans="3:18" x14ac:dyDescent="0.15">
      <c r="E723" s="52" t="s">
        <v>363</v>
      </c>
      <c r="F723" s="75">
        <f t="shared" si="26"/>
        <v>259000</v>
      </c>
      <c r="G723" s="92"/>
      <c r="H723" s="90">
        <v>125000</v>
      </c>
      <c r="I723" s="93"/>
      <c r="J723" s="90">
        <v>133000</v>
      </c>
      <c r="K723" s="93"/>
      <c r="L723" s="90">
        <v>1000</v>
      </c>
      <c r="M723" s="93"/>
      <c r="N723" s="90">
        <v>165000</v>
      </c>
      <c r="O723" s="93"/>
      <c r="P723" s="90">
        <v>94000</v>
      </c>
      <c r="Q723" s="93"/>
      <c r="R723" s="90">
        <v>0</v>
      </c>
    </row>
    <row r="724" spans="3:18" x14ac:dyDescent="0.15">
      <c r="E724" s="52" t="s">
        <v>364</v>
      </c>
      <c r="F724" s="75">
        <f t="shared" si="26"/>
        <v>5387000</v>
      </c>
      <c r="G724" s="92"/>
      <c r="H724" s="90">
        <v>0</v>
      </c>
      <c r="I724" s="93"/>
      <c r="J724" s="90">
        <v>5300000</v>
      </c>
      <c r="K724" s="93"/>
      <c r="L724" s="90">
        <v>87000</v>
      </c>
      <c r="M724" s="93"/>
      <c r="N724" s="90">
        <v>3212000</v>
      </c>
      <c r="O724" s="93"/>
      <c r="P724" s="90">
        <v>2175000</v>
      </c>
      <c r="Q724" s="93"/>
      <c r="R724" s="90">
        <v>0</v>
      </c>
    </row>
    <row r="725" spans="3:18" x14ac:dyDescent="0.15">
      <c r="E725" s="52" t="s">
        <v>365</v>
      </c>
      <c r="F725" s="75">
        <f t="shared" si="26"/>
        <v>313000</v>
      </c>
      <c r="G725" s="92"/>
      <c r="H725" s="90">
        <v>53000</v>
      </c>
      <c r="I725" s="93"/>
      <c r="J725" s="90">
        <v>256000</v>
      </c>
      <c r="K725" s="93"/>
      <c r="L725" s="90">
        <v>4000</v>
      </c>
      <c r="M725" s="93"/>
      <c r="N725" s="90">
        <v>196000</v>
      </c>
      <c r="O725" s="93"/>
      <c r="P725" s="90">
        <v>117000</v>
      </c>
      <c r="Q725" s="93"/>
      <c r="R725" s="90">
        <v>0</v>
      </c>
    </row>
    <row r="726" spans="3:18" x14ac:dyDescent="0.15">
      <c r="E726" s="52" t="s">
        <v>366</v>
      </c>
      <c r="F726" s="75">
        <f t="shared" si="26"/>
        <v>1827000</v>
      </c>
      <c r="G726" s="92"/>
      <c r="H726" s="90">
        <v>0</v>
      </c>
      <c r="I726" s="93"/>
      <c r="J726" s="90">
        <v>1826000</v>
      </c>
      <c r="K726" s="93"/>
      <c r="L726" s="90">
        <v>1000</v>
      </c>
      <c r="M726" s="93"/>
      <c r="N726" s="90">
        <v>434000</v>
      </c>
      <c r="O726" s="93"/>
      <c r="P726" s="90">
        <v>1393000</v>
      </c>
      <c r="Q726" s="93"/>
      <c r="R726" s="90">
        <v>0</v>
      </c>
    </row>
    <row r="727" spans="3:18" x14ac:dyDescent="0.15">
      <c r="E727" s="52" t="s">
        <v>367</v>
      </c>
      <c r="F727" s="75">
        <f t="shared" si="26"/>
        <v>6294000</v>
      </c>
      <c r="G727" s="92"/>
      <c r="H727" s="90">
        <v>393000</v>
      </c>
      <c r="I727" s="93"/>
      <c r="J727" s="90">
        <v>5802000</v>
      </c>
      <c r="K727" s="93"/>
      <c r="L727" s="90">
        <v>99000</v>
      </c>
      <c r="M727" s="93"/>
      <c r="N727" s="90">
        <v>4150000</v>
      </c>
      <c r="O727" s="93"/>
      <c r="P727" s="90">
        <v>2144000</v>
      </c>
      <c r="Q727" s="93"/>
      <c r="R727" s="90">
        <v>0</v>
      </c>
    </row>
    <row r="728" spans="3:18" x14ac:dyDescent="0.15">
      <c r="E728" s="52" t="s">
        <v>368</v>
      </c>
      <c r="F728" s="94">
        <f>SUM(H728:L728)</f>
        <v>1473000</v>
      </c>
      <c r="G728" s="69"/>
      <c r="H728" s="95">
        <v>2000</v>
      </c>
      <c r="I728" s="90"/>
      <c r="J728" s="95">
        <v>1255000</v>
      </c>
      <c r="K728" s="90"/>
      <c r="L728" s="95">
        <v>216000</v>
      </c>
      <c r="M728" s="90"/>
      <c r="N728" s="95">
        <v>818000</v>
      </c>
      <c r="O728" s="90"/>
      <c r="P728" s="95">
        <v>655000</v>
      </c>
      <c r="Q728" s="90"/>
      <c r="R728" s="95">
        <v>0</v>
      </c>
    </row>
    <row r="729" spans="3:18" x14ac:dyDescent="0.15"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</row>
    <row r="730" spans="3:18" x14ac:dyDescent="0.15">
      <c r="E730" s="52" t="s">
        <v>3</v>
      </c>
      <c r="F730" s="94">
        <f>SUM(H730:L730)</f>
        <v>16899000</v>
      </c>
      <c r="G730" s="69"/>
      <c r="H730" s="94">
        <f>SUM(H720:H729)</f>
        <v>896000</v>
      </c>
      <c r="I730" s="75"/>
      <c r="J730" s="94">
        <f>SUM(J720:J729)</f>
        <v>15413000</v>
      </c>
      <c r="K730" s="75"/>
      <c r="L730" s="94">
        <f>SUM(L720:L729)</f>
        <v>590000</v>
      </c>
      <c r="M730" s="75"/>
      <c r="N730" s="94">
        <f>SUM(N720:N729)</f>
        <v>10032000</v>
      </c>
      <c r="O730" s="75"/>
      <c r="P730" s="94">
        <f>SUM(P720:P729)</f>
        <v>6867000</v>
      </c>
      <c r="Q730" s="75"/>
      <c r="R730" s="94">
        <f>SUM(R720:R729)</f>
        <v>0</v>
      </c>
    </row>
    <row r="731" spans="3:18" x14ac:dyDescent="0.15"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</row>
    <row r="732" spans="3:18" x14ac:dyDescent="0.15">
      <c r="C732" s="52" t="s">
        <v>369</v>
      </c>
      <c r="D732" s="52"/>
      <c r="E732" s="91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</row>
    <row r="733" spans="3:18" x14ac:dyDescent="0.15">
      <c r="E733" s="52" t="s">
        <v>370</v>
      </c>
      <c r="F733" s="75">
        <f>SUM(H733:L733)</f>
        <v>115000</v>
      </c>
      <c r="G733" s="92"/>
      <c r="H733" s="90">
        <v>115000</v>
      </c>
      <c r="I733" s="93"/>
      <c r="J733" s="90">
        <v>0</v>
      </c>
      <c r="K733" s="93"/>
      <c r="L733" s="90">
        <v>0</v>
      </c>
      <c r="M733" s="93"/>
      <c r="N733" s="90">
        <v>76000</v>
      </c>
      <c r="O733" s="93"/>
      <c r="P733" s="90">
        <v>39000</v>
      </c>
      <c r="Q733" s="93"/>
      <c r="R733" s="90">
        <v>0</v>
      </c>
    </row>
    <row r="734" spans="3:18" x14ac:dyDescent="0.15">
      <c r="E734" s="52" t="s">
        <v>371</v>
      </c>
      <c r="F734" s="75">
        <f>SUM(H734:L734)</f>
        <v>45325000</v>
      </c>
      <c r="G734" s="92"/>
      <c r="H734" s="90">
        <v>0</v>
      </c>
      <c r="I734" s="93"/>
      <c r="J734" s="90">
        <v>27207000</v>
      </c>
      <c r="K734" s="93"/>
      <c r="L734" s="90">
        <v>18118000</v>
      </c>
      <c r="M734" s="93"/>
      <c r="N734" s="90">
        <v>19314000</v>
      </c>
      <c r="O734" s="93"/>
      <c r="P734" s="90">
        <v>26573000</v>
      </c>
      <c r="Q734" s="93"/>
      <c r="R734" s="90">
        <v>562000</v>
      </c>
    </row>
    <row r="735" spans="3:18" x14ac:dyDescent="0.15">
      <c r="E735" s="52" t="s">
        <v>372</v>
      </c>
      <c r="F735" s="94">
        <f>SUM(H735:L735)</f>
        <v>8997000</v>
      </c>
      <c r="G735" s="69"/>
      <c r="H735" s="95">
        <v>14000</v>
      </c>
      <c r="I735" s="90"/>
      <c r="J735" s="95">
        <v>8591000</v>
      </c>
      <c r="K735" s="90"/>
      <c r="L735" s="95">
        <v>392000</v>
      </c>
      <c r="M735" s="90"/>
      <c r="N735" s="95">
        <v>4378000</v>
      </c>
      <c r="O735" s="90"/>
      <c r="P735" s="95">
        <v>4694000</v>
      </c>
      <c r="Q735" s="90"/>
      <c r="R735" s="95">
        <v>75000</v>
      </c>
    </row>
    <row r="736" spans="3:18" x14ac:dyDescent="0.15"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</row>
    <row r="737" spans="1:18" x14ac:dyDescent="0.15">
      <c r="E737" s="52" t="s">
        <v>3</v>
      </c>
      <c r="F737" s="94">
        <f>SUM(H737:L737)</f>
        <v>54437000</v>
      </c>
      <c r="G737" s="69"/>
      <c r="H737" s="94">
        <f>SUM(H733:H736)</f>
        <v>129000</v>
      </c>
      <c r="I737" s="75"/>
      <c r="J737" s="94">
        <f>SUM(J733:J736)</f>
        <v>35798000</v>
      </c>
      <c r="K737" s="75"/>
      <c r="L737" s="94">
        <f>SUM(L733:L736)</f>
        <v>18510000</v>
      </c>
      <c r="M737" s="75"/>
      <c r="N737" s="94">
        <f>SUM(N733:N736)</f>
        <v>23768000</v>
      </c>
      <c r="O737" s="75"/>
      <c r="P737" s="94">
        <f>SUM(P733:P736)</f>
        <v>31306000</v>
      </c>
      <c r="Q737" s="75"/>
      <c r="R737" s="94">
        <f>SUM(R733:R736)</f>
        <v>637000</v>
      </c>
    </row>
    <row r="738" spans="1:18" x14ac:dyDescent="0.15"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</row>
    <row r="739" spans="1:18" x14ac:dyDescent="0.15">
      <c r="E739" s="52" t="s">
        <v>373</v>
      </c>
      <c r="F739" s="94">
        <f>SUM(H739:L739)</f>
        <v>76566000</v>
      </c>
      <c r="G739" s="69"/>
      <c r="H739" s="94">
        <f>+H711+H717+H730+H737</f>
        <v>1026000</v>
      </c>
      <c r="I739" s="75"/>
      <c r="J739" s="94">
        <f>+J711+J717+J730+J737</f>
        <v>55373000</v>
      </c>
      <c r="K739" s="75"/>
      <c r="L739" s="94">
        <f>+L711+L717+L730+L737</f>
        <v>20167000</v>
      </c>
      <c r="M739" s="75"/>
      <c r="N739" s="94">
        <f>+N711+N717+N730+N737</f>
        <v>36305000</v>
      </c>
      <c r="O739" s="75"/>
      <c r="P739" s="94">
        <f>+P711+P717+P730+P737</f>
        <v>40927000</v>
      </c>
      <c r="Q739" s="75"/>
      <c r="R739" s="94">
        <f>+R711+R717+R730+R737</f>
        <v>666000</v>
      </c>
    </row>
    <row r="740" spans="1:18" x14ac:dyDescent="0.15">
      <c r="A740" s="88"/>
      <c r="B740" s="88"/>
      <c r="C740" s="88"/>
      <c r="D740" s="88"/>
      <c r="E740" s="88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</row>
    <row r="741" spans="1:18" x14ac:dyDescent="0.15">
      <c r="A741" s="88"/>
      <c r="B741" s="53" t="s">
        <v>374</v>
      </c>
      <c r="C741" s="88"/>
      <c r="D741" s="88"/>
      <c r="E741" s="88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</row>
    <row r="742" spans="1:18" x14ac:dyDescent="0.15">
      <c r="B742" s="78"/>
      <c r="C742" s="53" t="s">
        <v>375</v>
      </c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</row>
    <row r="743" spans="1:18" x14ac:dyDescent="0.15">
      <c r="B743" s="52"/>
      <c r="C743" s="52" t="s">
        <v>376</v>
      </c>
      <c r="D743" s="52"/>
      <c r="E743" s="91"/>
      <c r="F743" s="75">
        <f>SUM(H743:L743)</f>
        <v>2451000</v>
      </c>
      <c r="G743" s="92"/>
      <c r="H743" s="90">
        <v>1367000</v>
      </c>
      <c r="I743" s="93"/>
      <c r="J743" s="90">
        <v>796000</v>
      </c>
      <c r="K743" s="93"/>
      <c r="L743" s="90">
        <v>288000</v>
      </c>
      <c r="M743" s="93"/>
      <c r="N743" s="90">
        <v>1541000</v>
      </c>
      <c r="O743" s="93"/>
      <c r="P743" s="90">
        <v>910000</v>
      </c>
      <c r="Q743" s="93"/>
      <c r="R743" s="90">
        <v>0</v>
      </c>
    </row>
    <row r="744" spans="1:18" x14ac:dyDescent="0.15">
      <c r="B744" s="52"/>
      <c r="C744" s="52" t="s">
        <v>377</v>
      </c>
      <c r="D744" s="86"/>
      <c r="E744" s="91"/>
      <c r="F744" s="75">
        <f>SUM(H744:L744)</f>
        <v>1055000</v>
      </c>
      <c r="G744" s="92"/>
      <c r="H744" s="90">
        <v>494000</v>
      </c>
      <c r="I744" s="93"/>
      <c r="J744" s="90">
        <v>141000</v>
      </c>
      <c r="K744" s="93"/>
      <c r="L744" s="90">
        <v>420000</v>
      </c>
      <c r="M744" s="93"/>
      <c r="N744" s="90">
        <v>540000</v>
      </c>
      <c r="O744" s="93"/>
      <c r="P744" s="90">
        <v>515000</v>
      </c>
      <c r="Q744" s="93"/>
      <c r="R744" s="90">
        <v>0</v>
      </c>
    </row>
    <row r="745" spans="1:18" x14ac:dyDescent="0.15">
      <c r="C745" s="52" t="s">
        <v>378</v>
      </c>
      <c r="D745" s="52"/>
      <c r="E745" s="91"/>
      <c r="F745" s="75">
        <f>SUM(H745:L745)</f>
        <v>1109000</v>
      </c>
      <c r="G745" s="92"/>
      <c r="H745" s="90">
        <v>248000</v>
      </c>
      <c r="I745" s="93"/>
      <c r="J745" s="90">
        <v>872000</v>
      </c>
      <c r="K745" s="93"/>
      <c r="L745" s="90">
        <v>-11000</v>
      </c>
      <c r="M745" s="93"/>
      <c r="N745" s="90">
        <v>669000</v>
      </c>
      <c r="O745" s="93"/>
      <c r="P745" s="90">
        <v>440000</v>
      </c>
      <c r="Q745" s="93"/>
      <c r="R745" s="90">
        <v>0</v>
      </c>
    </row>
    <row r="746" spans="1:18" x14ac:dyDescent="0.15">
      <c r="C746" s="52" t="s">
        <v>368</v>
      </c>
      <c r="D746" s="52"/>
      <c r="E746" s="91"/>
      <c r="F746" s="75">
        <f>SUM(H746:L746)</f>
        <v>502000</v>
      </c>
      <c r="G746" s="92"/>
      <c r="H746" s="90">
        <v>0</v>
      </c>
      <c r="I746" s="93"/>
      <c r="J746" s="90">
        <v>88000</v>
      </c>
      <c r="K746" s="93"/>
      <c r="L746" s="90">
        <v>414000</v>
      </c>
      <c r="M746" s="93"/>
      <c r="N746" s="90">
        <v>241000</v>
      </c>
      <c r="O746" s="93"/>
      <c r="P746" s="90">
        <v>261000</v>
      </c>
      <c r="Q746" s="93"/>
      <c r="R746" s="90">
        <v>0</v>
      </c>
    </row>
    <row r="747" spans="1:18" x14ac:dyDescent="0.15">
      <c r="C747" s="52" t="s">
        <v>379</v>
      </c>
      <c r="D747" s="52"/>
      <c r="E747" s="91"/>
      <c r="F747" s="94">
        <f>SUM(H747:L747)</f>
        <v>2837000</v>
      </c>
      <c r="G747" s="69"/>
      <c r="H747" s="95">
        <v>1491000</v>
      </c>
      <c r="I747" s="90"/>
      <c r="J747" s="95">
        <v>1287000</v>
      </c>
      <c r="K747" s="90"/>
      <c r="L747" s="95">
        <v>59000</v>
      </c>
      <c r="M747" s="90"/>
      <c r="N747" s="95">
        <v>1977000</v>
      </c>
      <c r="O747" s="90"/>
      <c r="P747" s="95">
        <v>860000</v>
      </c>
      <c r="Q747" s="90"/>
      <c r="R747" s="95">
        <v>0</v>
      </c>
    </row>
    <row r="748" spans="1:18" x14ac:dyDescent="0.15"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</row>
    <row r="749" spans="1:18" x14ac:dyDescent="0.15">
      <c r="E749" s="52" t="s">
        <v>3</v>
      </c>
      <c r="F749" s="94">
        <f>SUM(H749:L749)</f>
        <v>7954000</v>
      </c>
      <c r="G749" s="69"/>
      <c r="H749" s="94">
        <f>SUM(H743:H748)</f>
        <v>3600000</v>
      </c>
      <c r="I749" s="75"/>
      <c r="J749" s="94">
        <f>SUM(J743:J748)</f>
        <v>3184000</v>
      </c>
      <c r="K749" s="75"/>
      <c r="L749" s="94">
        <f>SUM(L743:L748)</f>
        <v>1170000</v>
      </c>
      <c r="M749" s="75"/>
      <c r="N749" s="94">
        <f>SUM(N743:N748)</f>
        <v>4968000</v>
      </c>
      <c r="O749" s="75"/>
      <c r="P749" s="94">
        <f>SUM(P743:P748)</f>
        <v>2986000</v>
      </c>
      <c r="Q749" s="75"/>
      <c r="R749" s="94">
        <f>SUM(R743:R748)</f>
        <v>0</v>
      </c>
    </row>
    <row r="750" spans="1:18" x14ac:dyDescent="0.15">
      <c r="A750" s="88"/>
      <c r="B750" s="88"/>
      <c r="C750" s="88"/>
      <c r="D750" s="88"/>
      <c r="E750" s="88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</row>
    <row r="751" spans="1:18" x14ac:dyDescent="0.15">
      <c r="A751" s="88"/>
      <c r="B751" s="53" t="s">
        <v>380</v>
      </c>
      <c r="C751" s="88"/>
      <c r="D751" s="88"/>
      <c r="E751" s="88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</row>
    <row r="752" spans="1:18" x14ac:dyDescent="0.15">
      <c r="B752" s="78"/>
      <c r="C752" s="53" t="s">
        <v>381</v>
      </c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</row>
    <row r="753" spans="1:20" x14ac:dyDescent="0.15">
      <c r="C753" s="53" t="s">
        <v>382</v>
      </c>
      <c r="F753" s="75">
        <f>SUM(H753:L753)</f>
        <v>4110000</v>
      </c>
      <c r="G753" s="92"/>
      <c r="H753" s="90">
        <v>1000</v>
      </c>
      <c r="I753" s="93"/>
      <c r="J753" s="90">
        <v>3559000</v>
      </c>
      <c r="K753" s="93"/>
      <c r="L753" s="90">
        <v>550000</v>
      </c>
      <c r="M753" s="93"/>
      <c r="N753" s="90">
        <v>2633000</v>
      </c>
      <c r="O753" s="93"/>
      <c r="P753" s="90">
        <v>1477000</v>
      </c>
      <c r="Q753" s="93"/>
      <c r="R753" s="90">
        <v>0</v>
      </c>
    </row>
    <row r="754" spans="1:20" x14ac:dyDescent="0.15">
      <c r="C754" s="52" t="s">
        <v>383</v>
      </c>
      <c r="F754" s="75">
        <f>SUM(H754:L754)</f>
        <v>3565000</v>
      </c>
      <c r="G754" s="92"/>
      <c r="H754" s="90">
        <v>1625000</v>
      </c>
      <c r="I754" s="93"/>
      <c r="J754" s="90">
        <v>1330000</v>
      </c>
      <c r="K754" s="93"/>
      <c r="L754" s="90">
        <v>610000</v>
      </c>
      <c r="M754" s="93"/>
      <c r="N754" s="90">
        <v>2290000</v>
      </c>
      <c r="O754" s="93"/>
      <c r="P754" s="90">
        <v>1275000</v>
      </c>
      <c r="Q754" s="93"/>
      <c r="R754" s="90">
        <v>0</v>
      </c>
    </row>
    <row r="755" spans="1:20" x14ac:dyDescent="0.15">
      <c r="C755" s="52" t="s">
        <v>384</v>
      </c>
      <c r="G755" s="69"/>
      <c r="H755" s="90"/>
      <c r="I755" s="90"/>
      <c r="J755" s="90"/>
      <c r="K755" s="90"/>
      <c r="L755" s="90"/>
      <c r="M755" s="90"/>
      <c r="N755" s="90"/>
      <c r="O755" s="90"/>
      <c r="P755" s="90"/>
      <c r="Q755" s="90"/>
      <c r="R755" s="90"/>
    </row>
    <row r="756" spans="1:20" x14ac:dyDescent="0.15">
      <c r="C756" s="52"/>
      <c r="E756" s="52" t="s">
        <v>385</v>
      </c>
      <c r="F756" s="94">
        <f>SUM(H756:L756)</f>
        <v>1078000</v>
      </c>
      <c r="G756" s="69"/>
      <c r="H756" s="95">
        <v>2000</v>
      </c>
      <c r="I756" s="90"/>
      <c r="J756" s="95">
        <v>1074000</v>
      </c>
      <c r="K756" s="90"/>
      <c r="L756" s="95">
        <v>2000</v>
      </c>
      <c r="M756" s="90"/>
      <c r="N756" s="95">
        <v>1745000</v>
      </c>
      <c r="O756" s="90"/>
      <c r="P756" s="95">
        <v>1090000</v>
      </c>
      <c r="Q756" s="90"/>
      <c r="R756" s="95">
        <v>1757000</v>
      </c>
    </row>
    <row r="757" spans="1:20" x14ac:dyDescent="0.15"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</row>
    <row r="758" spans="1:20" x14ac:dyDescent="0.15">
      <c r="E758" s="52" t="s">
        <v>3</v>
      </c>
      <c r="F758" s="94">
        <f>SUM(H758:L758)</f>
        <v>8753000</v>
      </c>
      <c r="G758" s="69"/>
      <c r="H758" s="94">
        <f>SUM(H752:H757)</f>
        <v>1628000</v>
      </c>
      <c r="I758" s="75"/>
      <c r="J758" s="94">
        <f>SUM(J752:J757)</f>
        <v>5963000</v>
      </c>
      <c r="K758" s="75"/>
      <c r="L758" s="94">
        <f>SUM(L752:L757)</f>
        <v>1162000</v>
      </c>
      <c r="M758" s="75"/>
      <c r="N758" s="94">
        <f>SUM(N752:N757)</f>
        <v>6668000</v>
      </c>
      <c r="O758" s="75"/>
      <c r="P758" s="94">
        <f>SUM(P752:P757)</f>
        <v>3842000</v>
      </c>
      <c r="Q758" s="75"/>
      <c r="R758" s="94">
        <f>SUM(R752:R757)</f>
        <v>1757000</v>
      </c>
    </row>
    <row r="759" spans="1:20" x14ac:dyDescent="0.15">
      <c r="A759" s="88"/>
      <c r="B759" s="88"/>
      <c r="C759" s="88"/>
      <c r="D759" s="88"/>
      <c r="E759" s="88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</row>
    <row r="760" spans="1:20" ht="20.25" customHeight="1" x14ac:dyDescent="0.15">
      <c r="B760" s="53" t="s">
        <v>386</v>
      </c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</row>
    <row r="761" spans="1:20" x14ac:dyDescent="0.15">
      <c r="C761" s="52" t="s">
        <v>387</v>
      </c>
      <c r="D761" s="52"/>
      <c r="E761" s="91"/>
      <c r="F761" s="75">
        <f>SUM(H761:L761)</f>
        <v>4877000</v>
      </c>
      <c r="G761" s="92"/>
      <c r="H761" s="90">
        <v>4242000</v>
      </c>
      <c r="I761" s="93"/>
      <c r="J761" s="90">
        <v>587000</v>
      </c>
      <c r="K761" s="93"/>
      <c r="L761" s="90">
        <v>48000</v>
      </c>
      <c r="M761" s="93"/>
      <c r="N761" s="90">
        <v>3623000</v>
      </c>
      <c r="O761" s="93"/>
      <c r="P761" s="90">
        <v>1254000</v>
      </c>
      <c r="Q761" s="93"/>
      <c r="R761" s="90">
        <v>0</v>
      </c>
      <c r="T761" s="69"/>
    </row>
    <row r="762" spans="1:20" x14ac:dyDescent="0.15">
      <c r="C762" s="52" t="s">
        <v>388</v>
      </c>
      <c r="D762" s="52"/>
      <c r="E762" s="91"/>
      <c r="F762" s="94">
        <f>SUM(H762:L762)</f>
        <v>283000</v>
      </c>
      <c r="G762" s="69"/>
      <c r="H762" s="95">
        <v>104000</v>
      </c>
      <c r="I762" s="90"/>
      <c r="J762" s="95">
        <v>151000</v>
      </c>
      <c r="K762" s="90"/>
      <c r="L762" s="95">
        <v>28000</v>
      </c>
      <c r="M762" s="90"/>
      <c r="N762" s="95">
        <v>86000</v>
      </c>
      <c r="O762" s="90"/>
      <c r="P762" s="95">
        <v>197000</v>
      </c>
      <c r="Q762" s="90"/>
      <c r="R762" s="95">
        <v>0</v>
      </c>
    </row>
    <row r="763" spans="1:20" x14ac:dyDescent="0.15"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</row>
    <row r="764" spans="1:20" x14ac:dyDescent="0.15">
      <c r="E764" s="52" t="s">
        <v>3</v>
      </c>
      <c r="F764" s="94">
        <f>SUM(H764:L764)</f>
        <v>5160000</v>
      </c>
      <c r="G764" s="69"/>
      <c r="H764" s="94">
        <f>SUM(H761:H763)</f>
        <v>4346000</v>
      </c>
      <c r="I764" s="75"/>
      <c r="J764" s="94">
        <f>SUM(J761:J763)</f>
        <v>738000</v>
      </c>
      <c r="K764" s="75"/>
      <c r="L764" s="94">
        <f>SUM(L761:L763)</f>
        <v>76000</v>
      </c>
      <c r="M764" s="75"/>
      <c r="N764" s="94">
        <f>SUM(N761:N763)</f>
        <v>3709000</v>
      </c>
      <c r="O764" s="75"/>
      <c r="P764" s="94">
        <f>SUM(P761:P763)</f>
        <v>1451000</v>
      </c>
      <c r="Q764" s="75"/>
      <c r="R764" s="94">
        <f>SUM(R761:R763)</f>
        <v>0</v>
      </c>
    </row>
    <row r="765" spans="1:20" x14ac:dyDescent="0.15">
      <c r="A765" s="88"/>
      <c r="B765" s="88"/>
      <c r="C765" s="88"/>
      <c r="D765" s="88"/>
      <c r="E765" s="88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</row>
    <row r="766" spans="1:20" x14ac:dyDescent="0.15">
      <c r="A766" s="88"/>
      <c r="B766" s="53" t="s">
        <v>389</v>
      </c>
      <c r="E766" s="88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</row>
    <row r="767" spans="1:20" x14ac:dyDescent="0.15">
      <c r="A767" s="88"/>
      <c r="C767" s="78" t="s">
        <v>390</v>
      </c>
      <c r="E767" s="88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</row>
    <row r="768" spans="1:20" x14ac:dyDescent="0.15">
      <c r="A768" s="88"/>
      <c r="C768" s="53" t="s">
        <v>391</v>
      </c>
      <c r="E768" s="88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</row>
    <row r="769" spans="1:18" x14ac:dyDescent="0.15">
      <c r="A769" s="88"/>
      <c r="E769" s="88" t="s">
        <v>392</v>
      </c>
      <c r="F769" s="75">
        <f>SUM(H769:L769)</f>
        <v>679000</v>
      </c>
      <c r="G769" s="92"/>
      <c r="H769" s="90">
        <v>638000</v>
      </c>
      <c r="I769" s="93"/>
      <c r="J769" s="90">
        <v>41000</v>
      </c>
      <c r="K769" s="93"/>
      <c r="L769" s="90">
        <v>0</v>
      </c>
      <c r="M769" s="93"/>
      <c r="N769" s="90">
        <v>442000</v>
      </c>
      <c r="O769" s="93"/>
      <c r="P769" s="90">
        <v>237000</v>
      </c>
      <c r="Q769" s="93"/>
      <c r="R769" s="90">
        <v>0</v>
      </c>
    </row>
    <row r="770" spans="1:18" x14ac:dyDescent="0.15">
      <c r="A770" s="88"/>
      <c r="C770" s="53" t="s">
        <v>393</v>
      </c>
      <c r="E770" s="88"/>
      <c r="F770" s="90"/>
      <c r="G770" s="90"/>
      <c r="H770" s="90"/>
      <c r="I770" s="90"/>
      <c r="J770" s="90"/>
      <c r="K770" s="90"/>
      <c r="L770" s="90"/>
      <c r="M770" s="90"/>
      <c r="N770" s="90"/>
      <c r="O770" s="90"/>
      <c r="P770" s="90"/>
      <c r="Q770" s="90"/>
      <c r="R770" s="90"/>
    </row>
    <row r="771" spans="1:18" x14ac:dyDescent="0.15">
      <c r="A771" s="88"/>
      <c r="E771" s="88" t="s">
        <v>394</v>
      </c>
      <c r="F771" s="75">
        <f>SUM(H771:L771)</f>
        <v>5377000</v>
      </c>
      <c r="G771" s="92"/>
      <c r="H771" s="90">
        <v>3514000</v>
      </c>
      <c r="I771" s="93"/>
      <c r="J771" s="90">
        <v>1856000</v>
      </c>
      <c r="K771" s="93"/>
      <c r="L771" s="90">
        <v>7000</v>
      </c>
      <c r="M771" s="93"/>
      <c r="N771" s="90">
        <v>3629000</v>
      </c>
      <c r="O771" s="93"/>
      <c r="P771" s="90">
        <v>1748000</v>
      </c>
      <c r="Q771" s="93"/>
      <c r="R771" s="90">
        <v>0</v>
      </c>
    </row>
    <row r="772" spans="1:18" x14ac:dyDescent="0.15">
      <c r="A772" s="88"/>
      <c r="C772" s="53" t="s">
        <v>395</v>
      </c>
      <c r="E772" s="88"/>
      <c r="F772" s="94">
        <f>SUM(H772:L772)</f>
        <v>3768000</v>
      </c>
      <c r="G772" s="69"/>
      <c r="H772" s="95">
        <v>1402000</v>
      </c>
      <c r="I772" s="90"/>
      <c r="J772" s="95">
        <v>2341000</v>
      </c>
      <c r="K772" s="90"/>
      <c r="L772" s="95">
        <v>25000</v>
      </c>
      <c r="M772" s="90"/>
      <c r="N772" s="95">
        <v>2368000</v>
      </c>
      <c r="O772" s="90"/>
      <c r="P772" s="95">
        <v>1400000</v>
      </c>
      <c r="Q772" s="90"/>
      <c r="R772" s="95">
        <v>0</v>
      </c>
    </row>
    <row r="773" spans="1:18" x14ac:dyDescent="0.15">
      <c r="A773" s="88"/>
      <c r="E773" s="88"/>
      <c r="F773" s="90"/>
      <c r="G773" s="90"/>
      <c r="H773" s="90"/>
      <c r="I773" s="90"/>
      <c r="J773" s="90"/>
      <c r="K773" s="90"/>
      <c r="L773" s="90"/>
      <c r="M773" s="90"/>
      <c r="N773" s="90"/>
      <c r="O773" s="90"/>
      <c r="P773" s="90"/>
      <c r="Q773" s="69"/>
      <c r="R773" s="90"/>
    </row>
    <row r="774" spans="1:18" x14ac:dyDescent="0.15">
      <c r="B774" s="78"/>
      <c r="C774" s="86"/>
      <c r="D774" s="78"/>
      <c r="E774" s="52" t="s">
        <v>3</v>
      </c>
      <c r="F774" s="94">
        <f>SUM(H774:L774)</f>
        <v>9824000</v>
      </c>
      <c r="G774" s="69"/>
      <c r="H774" s="95">
        <f>SUM(H769:H772)</f>
        <v>5554000</v>
      </c>
      <c r="I774" s="90"/>
      <c r="J774" s="95">
        <f>SUM(J769:J772)</f>
        <v>4238000</v>
      </c>
      <c r="K774" s="90"/>
      <c r="L774" s="95">
        <f>SUM(L769:L772)</f>
        <v>32000</v>
      </c>
      <c r="M774" s="90"/>
      <c r="N774" s="95">
        <f>SUM(N769:N772)</f>
        <v>6439000</v>
      </c>
      <c r="O774" s="90"/>
      <c r="P774" s="95">
        <f>SUM(P769:P772)</f>
        <v>3385000</v>
      </c>
      <c r="Q774" s="90"/>
      <c r="R774" s="95">
        <f>SUM(R769:R772)</f>
        <v>0</v>
      </c>
    </row>
    <row r="775" spans="1:18" x14ac:dyDescent="0.15"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</row>
    <row r="776" spans="1:18" x14ac:dyDescent="0.15">
      <c r="B776" s="53" t="s">
        <v>396</v>
      </c>
      <c r="F776" s="94">
        <f>SUM(H776:L776)</f>
        <v>83281000</v>
      </c>
      <c r="G776" s="69"/>
      <c r="H776" s="95">
        <v>-121000</v>
      </c>
      <c r="I776" s="90"/>
      <c r="J776" s="95">
        <v>83068000</v>
      </c>
      <c r="K776" s="90"/>
      <c r="L776" s="95">
        <v>334000</v>
      </c>
      <c r="M776" s="90"/>
      <c r="N776" s="95">
        <v>17727000</v>
      </c>
      <c r="O776" s="90"/>
      <c r="P776" s="95">
        <v>77380000</v>
      </c>
      <c r="Q776" s="90"/>
      <c r="R776" s="95">
        <v>11826000</v>
      </c>
    </row>
    <row r="777" spans="1:18" x14ac:dyDescent="0.15">
      <c r="A777" s="88"/>
      <c r="B777" s="88"/>
      <c r="C777" s="88"/>
      <c r="D777" s="88"/>
      <c r="E777" s="88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</row>
    <row r="778" spans="1:18" x14ac:dyDescent="0.15">
      <c r="A778" s="88"/>
      <c r="B778" s="53" t="s">
        <v>512</v>
      </c>
      <c r="C778" s="88"/>
      <c r="D778" s="88"/>
      <c r="E778" s="88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</row>
    <row r="779" spans="1:18" x14ac:dyDescent="0.15">
      <c r="A779" s="88"/>
      <c r="B779" s="88"/>
      <c r="C779" s="88" t="s">
        <v>513</v>
      </c>
      <c r="D779" s="88"/>
      <c r="E779" s="88"/>
      <c r="F779" s="94">
        <f>SUM(H779:L779)</f>
        <v>12454000</v>
      </c>
      <c r="G779" s="69"/>
      <c r="H779" s="95">
        <v>0</v>
      </c>
      <c r="I779" s="90"/>
      <c r="J779" s="95">
        <v>12144000</v>
      </c>
      <c r="K779" s="90"/>
      <c r="L779" s="95">
        <v>310000</v>
      </c>
      <c r="M779" s="90"/>
      <c r="N779" s="95">
        <v>5982000</v>
      </c>
      <c r="O779" s="90"/>
      <c r="P779" s="95">
        <v>6472000</v>
      </c>
      <c r="Q779" s="90"/>
      <c r="R779" s="95">
        <v>0</v>
      </c>
    </row>
    <row r="780" spans="1:18" x14ac:dyDescent="0.15">
      <c r="A780" s="88"/>
      <c r="B780" s="88"/>
      <c r="C780" s="88"/>
      <c r="D780" s="88"/>
      <c r="E780" s="88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</row>
    <row r="781" spans="1:18" x14ac:dyDescent="0.15">
      <c r="A781" s="88"/>
      <c r="B781" s="88" t="s">
        <v>398</v>
      </c>
      <c r="C781" s="88"/>
      <c r="D781" s="88"/>
      <c r="E781" s="88"/>
      <c r="F781" s="94">
        <f>SUM(H781:L781)</f>
        <v>3376000</v>
      </c>
      <c r="G781" s="69"/>
      <c r="H781" s="95">
        <v>-16000000</v>
      </c>
      <c r="I781" s="90"/>
      <c r="J781" s="95">
        <v>18445000</v>
      </c>
      <c r="K781" s="90"/>
      <c r="L781" s="95">
        <v>931000</v>
      </c>
      <c r="M781" s="90"/>
      <c r="N781" s="95">
        <v>8078000</v>
      </c>
      <c r="O781" s="90"/>
      <c r="P781" s="95">
        <v>-4705000</v>
      </c>
      <c r="Q781" s="90"/>
      <c r="R781" s="95">
        <v>-3000</v>
      </c>
    </row>
    <row r="782" spans="1:18" x14ac:dyDescent="0.15">
      <c r="A782" s="88"/>
      <c r="B782" s="88"/>
      <c r="C782" s="88"/>
      <c r="D782" s="88"/>
      <c r="E782" s="88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</row>
    <row r="783" spans="1:18" x14ac:dyDescent="0.15">
      <c r="A783" s="88"/>
      <c r="B783" s="53" t="s">
        <v>399</v>
      </c>
      <c r="C783" s="88"/>
      <c r="D783" s="88"/>
      <c r="E783" s="88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</row>
    <row r="784" spans="1:18" x14ac:dyDescent="0.15">
      <c r="B784" s="78"/>
      <c r="C784" s="53" t="s">
        <v>400</v>
      </c>
      <c r="F784" s="94">
        <f>SUM(H784:L784)</f>
        <v>1352000</v>
      </c>
      <c r="G784" s="69"/>
      <c r="H784" s="95">
        <v>942000</v>
      </c>
      <c r="I784" s="90"/>
      <c r="J784" s="95">
        <v>418000</v>
      </c>
      <c r="K784" s="90"/>
      <c r="L784" s="95">
        <v>-8000</v>
      </c>
      <c r="M784" s="90"/>
      <c r="N784" s="95">
        <v>1218000</v>
      </c>
      <c r="O784" s="90"/>
      <c r="P784" s="95">
        <v>134000</v>
      </c>
      <c r="Q784" s="90"/>
      <c r="R784" s="95">
        <v>0</v>
      </c>
    </row>
    <row r="785" spans="1:18" x14ac:dyDescent="0.15">
      <c r="B785" s="78"/>
      <c r="G785" s="69"/>
      <c r="H785" s="90"/>
      <c r="I785" s="90"/>
      <c r="J785" s="90"/>
      <c r="K785" s="90"/>
      <c r="L785" s="90"/>
      <c r="M785" s="90"/>
      <c r="N785" s="90"/>
      <c r="O785" s="90"/>
      <c r="P785" s="90"/>
      <c r="Q785" s="90"/>
      <c r="R785" s="90"/>
    </row>
    <row r="786" spans="1:18" x14ac:dyDescent="0.15">
      <c r="E786" s="52" t="s">
        <v>401</v>
      </c>
      <c r="F786" s="94">
        <f>SUM(H786:L786)</f>
        <v>215119000</v>
      </c>
      <c r="G786" s="69"/>
      <c r="H786" s="94">
        <f>+H707+H739+H749+H758+H764+H774+H776+H784+H781+H779</f>
        <v>1029000</v>
      </c>
      <c r="I786" s="75"/>
      <c r="J786" s="94">
        <f>+J707+J739+J749+J758+J764+J774+J776+J784+J781+J779</f>
        <v>189411000</v>
      </c>
      <c r="K786" s="75"/>
      <c r="L786" s="94">
        <f>+L707+L739+L749+L758+L764+L774+L776+L784+L781+L779</f>
        <v>24679000</v>
      </c>
      <c r="M786" s="75"/>
      <c r="N786" s="94">
        <f>+N707+N739+N749+N758+N764+N774+N776+N784+N781+N779</f>
        <v>102696000</v>
      </c>
      <c r="O786" s="75"/>
      <c r="P786" s="94">
        <f>+P707+P739+P749+P758+P764+P774+P776+P784+P781+P779</f>
        <v>138959000</v>
      </c>
      <c r="Q786" s="75"/>
      <c r="R786" s="94">
        <f>+R707+R739+R749+R758+R764+R774+R776+R784+R781+R779</f>
        <v>26536000</v>
      </c>
    </row>
    <row r="787" spans="1:18" x14ac:dyDescent="0.15">
      <c r="G787" s="69"/>
      <c r="H787" s="75"/>
      <c r="I787" s="75"/>
      <c r="J787" s="75"/>
      <c r="K787" s="75"/>
      <c r="L787" s="75"/>
      <c r="M787" s="75"/>
      <c r="N787" s="75"/>
      <c r="O787" s="75"/>
      <c r="P787" s="75"/>
      <c r="Q787" s="75"/>
      <c r="R787" s="75"/>
    </row>
    <row r="788" spans="1:18" x14ac:dyDescent="0.15">
      <c r="A788" s="79" t="s">
        <v>402</v>
      </c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</row>
    <row r="789" spans="1:18" x14ac:dyDescent="0.15">
      <c r="A789" s="88"/>
      <c r="B789" s="88"/>
      <c r="C789" s="88"/>
      <c r="D789" s="88"/>
      <c r="E789" s="88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</row>
    <row r="790" spans="1:18" x14ac:dyDescent="0.15">
      <c r="B790" s="53" t="s">
        <v>403</v>
      </c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</row>
    <row r="791" spans="1:18" x14ac:dyDescent="0.15">
      <c r="C791" s="53" t="s">
        <v>404</v>
      </c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</row>
    <row r="792" spans="1:18" x14ac:dyDescent="0.15">
      <c r="E792" s="52" t="s">
        <v>405</v>
      </c>
      <c r="F792" s="75">
        <f>SUM(H792:L792)</f>
        <v>1369000</v>
      </c>
      <c r="G792" s="92"/>
      <c r="H792" s="90">
        <v>1278000</v>
      </c>
      <c r="I792" s="93"/>
      <c r="J792" s="90">
        <v>91000</v>
      </c>
      <c r="K792" s="93"/>
      <c r="L792" s="90">
        <v>0</v>
      </c>
      <c r="M792" s="93"/>
      <c r="N792" s="90">
        <v>874000</v>
      </c>
      <c r="O792" s="93"/>
      <c r="P792" s="90">
        <v>495000</v>
      </c>
      <c r="Q792" s="93"/>
      <c r="R792" s="90">
        <v>0</v>
      </c>
    </row>
    <row r="793" spans="1:18" x14ac:dyDescent="0.15">
      <c r="E793" s="52" t="s">
        <v>406</v>
      </c>
      <c r="G793" s="69"/>
      <c r="H793" s="90"/>
      <c r="I793" s="90"/>
      <c r="J793" s="90"/>
      <c r="K793" s="90"/>
      <c r="L793" s="90"/>
      <c r="M793" s="90"/>
      <c r="N793" s="90"/>
      <c r="O793" s="90"/>
      <c r="P793" s="90"/>
      <c r="Q793" s="90"/>
      <c r="R793" s="90"/>
    </row>
    <row r="794" spans="1:18" x14ac:dyDescent="0.15">
      <c r="E794" s="52" t="s">
        <v>407</v>
      </c>
      <c r="F794" s="75">
        <f>SUM(H794:L794)</f>
        <v>19000</v>
      </c>
      <c r="G794" s="92"/>
      <c r="H794" s="90">
        <v>6000</v>
      </c>
      <c r="I794" s="93"/>
      <c r="J794" s="90">
        <v>13000</v>
      </c>
      <c r="K794" s="93"/>
      <c r="L794" s="90">
        <v>0</v>
      </c>
      <c r="M794" s="93"/>
      <c r="N794" s="90">
        <v>12000</v>
      </c>
      <c r="O794" s="93"/>
      <c r="P794" s="90">
        <v>7000</v>
      </c>
      <c r="Q794" s="93"/>
      <c r="R794" s="90">
        <v>0</v>
      </c>
    </row>
    <row r="795" spans="1:18" x14ac:dyDescent="0.15">
      <c r="E795" s="52" t="s">
        <v>408</v>
      </c>
      <c r="G795" s="69"/>
      <c r="H795" s="90"/>
      <c r="I795" s="90"/>
      <c r="J795" s="90"/>
      <c r="K795" s="90"/>
      <c r="L795" s="90"/>
      <c r="M795" s="90"/>
      <c r="N795" s="90"/>
      <c r="O795" s="90"/>
      <c r="P795" s="90"/>
      <c r="Q795" s="90"/>
      <c r="R795" s="90"/>
    </row>
    <row r="796" spans="1:18" x14ac:dyDescent="0.15">
      <c r="E796" s="52" t="s">
        <v>409</v>
      </c>
      <c r="F796" s="75">
        <f>SUM(H796:L796)</f>
        <v>-4232000</v>
      </c>
      <c r="G796" s="92"/>
      <c r="H796" s="90">
        <v>-6000</v>
      </c>
      <c r="I796" s="93"/>
      <c r="J796" s="90">
        <v>-4226000</v>
      </c>
      <c r="K796" s="93"/>
      <c r="L796" s="90">
        <v>0</v>
      </c>
      <c r="M796" s="93"/>
      <c r="N796" s="90">
        <v>0</v>
      </c>
      <c r="O796" s="93"/>
      <c r="P796" s="90">
        <v>-4232000</v>
      </c>
      <c r="Q796" s="93"/>
      <c r="R796" s="90">
        <v>0</v>
      </c>
    </row>
    <row r="797" spans="1:18" x14ac:dyDescent="0.15">
      <c r="E797" s="52" t="s">
        <v>410</v>
      </c>
      <c r="F797" s="75">
        <f>SUM(H797:L797)</f>
        <v>7606000</v>
      </c>
      <c r="G797" s="92"/>
      <c r="H797" s="90">
        <v>2905000</v>
      </c>
      <c r="I797" s="93"/>
      <c r="J797" s="90">
        <v>4611000</v>
      </c>
      <c r="K797" s="93"/>
      <c r="L797" s="90">
        <v>90000</v>
      </c>
      <c r="M797" s="93"/>
      <c r="N797" s="90">
        <v>3509000</v>
      </c>
      <c r="O797" s="93"/>
      <c r="P797" s="90">
        <v>4098000</v>
      </c>
      <c r="Q797" s="93"/>
      <c r="R797" s="90">
        <v>1000</v>
      </c>
    </row>
    <row r="798" spans="1:18" x14ac:dyDescent="0.15">
      <c r="E798" s="52" t="s">
        <v>411</v>
      </c>
      <c r="F798" s="75">
        <f>SUM(H798:L798)</f>
        <v>639000</v>
      </c>
      <c r="G798" s="92"/>
      <c r="H798" s="90">
        <v>214000</v>
      </c>
      <c r="I798" s="93"/>
      <c r="J798" s="90">
        <v>425000</v>
      </c>
      <c r="K798" s="93"/>
      <c r="L798" s="90">
        <v>0</v>
      </c>
      <c r="M798" s="93"/>
      <c r="N798" s="90">
        <v>323000</v>
      </c>
      <c r="O798" s="93"/>
      <c r="P798" s="90">
        <v>328000</v>
      </c>
      <c r="Q798" s="93"/>
      <c r="R798" s="90">
        <v>12000</v>
      </c>
    </row>
    <row r="799" spans="1:18" x14ac:dyDescent="0.15">
      <c r="E799" s="52" t="s">
        <v>412</v>
      </c>
    </row>
    <row r="800" spans="1:18" x14ac:dyDescent="0.15">
      <c r="E800" s="52" t="s">
        <v>413</v>
      </c>
      <c r="F800" s="75">
        <f>SUM(H800:L800)</f>
        <v>2138000</v>
      </c>
      <c r="G800" s="92"/>
      <c r="H800" s="90">
        <v>1872000</v>
      </c>
      <c r="I800" s="93"/>
      <c r="J800" s="90">
        <v>264000</v>
      </c>
      <c r="K800" s="93"/>
      <c r="L800" s="90">
        <v>2000</v>
      </c>
      <c r="M800" s="93"/>
      <c r="N800" s="90">
        <v>1429000</v>
      </c>
      <c r="O800" s="93"/>
      <c r="P800" s="90">
        <v>709000</v>
      </c>
      <c r="Q800" s="93"/>
      <c r="R800" s="90">
        <v>0</v>
      </c>
    </row>
    <row r="801" spans="5:18" x14ac:dyDescent="0.15">
      <c r="E801" s="52" t="s">
        <v>414</v>
      </c>
      <c r="G801" s="69"/>
      <c r="H801" s="90"/>
      <c r="I801" s="90"/>
      <c r="J801" s="90"/>
      <c r="K801" s="90"/>
      <c r="L801" s="90"/>
      <c r="M801" s="90"/>
      <c r="N801" s="90"/>
      <c r="O801" s="90"/>
      <c r="P801" s="90"/>
      <c r="Q801" s="90"/>
      <c r="R801" s="90"/>
    </row>
    <row r="802" spans="5:18" x14ac:dyDescent="0.15">
      <c r="E802" s="52" t="s">
        <v>415</v>
      </c>
      <c r="F802" s="75">
        <f>SUM(H802:L802)</f>
        <v>3816000</v>
      </c>
      <c r="G802" s="92"/>
      <c r="H802" s="90">
        <v>0</v>
      </c>
      <c r="I802" s="93"/>
      <c r="J802" s="90">
        <v>3816000</v>
      </c>
      <c r="K802" s="93"/>
      <c r="L802" s="90">
        <v>0</v>
      </c>
      <c r="M802" s="93"/>
      <c r="N802" s="90">
        <v>2090000</v>
      </c>
      <c r="O802" s="93"/>
      <c r="P802" s="90">
        <v>1726000</v>
      </c>
      <c r="Q802" s="93"/>
      <c r="R802" s="90">
        <v>0</v>
      </c>
    </row>
    <row r="803" spans="5:18" x14ac:dyDescent="0.15">
      <c r="E803" s="52" t="s">
        <v>418</v>
      </c>
      <c r="G803" s="92"/>
      <c r="H803" s="90"/>
      <c r="I803" s="93"/>
      <c r="J803" s="90"/>
      <c r="K803" s="93"/>
      <c r="L803" s="90"/>
      <c r="M803" s="93"/>
      <c r="N803" s="90"/>
      <c r="O803" s="93"/>
      <c r="P803" s="90"/>
      <c r="Q803" s="93"/>
      <c r="R803" s="90"/>
    </row>
    <row r="804" spans="5:18" x14ac:dyDescent="0.15">
      <c r="E804" s="52" t="s">
        <v>419</v>
      </c>
      <c r="F804" s="75">
        <f>SUM(H804:L804)</f>
        <v>779000</v>
      </c>
      <c r="G804" s="92"/>
      <c r="H804" s="90">
        <v>685000</v>
      </c>
      <c r="I804" s="93"/>
      <c r="J804" s="90">
        <v>94000</v>
      </c>
      <c r="K804" s="93"/>
      <c r="L804" s="90">
        <v>0</v>
      </c>
      <c r="M804" s="93"/>
      <c r="N804" s="90">
        <v>454000</v>
      </c>
      <c r="O804" s="93"/>
      <c r="P804" s="90">
        <v>325000</v>
      </c>
      <c r="Q804" s="93"/>
      <c r="R804" s="90">
        <v>0</v>
      </c>
    </row>
    <row r="805" spans="5:18" x14ac:dyDescent="0.15">
      <c r="E805" s="52" t="s">
        <v>420</v>
      </c>
      <c r="F805" s="75">
        <f>SUM(H805:L805)</f>
        <v>453000</v>
      </c>
      <c r="G805" s="69"/>
      <c r="H805" s="90">
        <v>444000</v>
      </c>
      <c r="I805" s="90"/>
      <c r="J805" s="90">
        <v>9000</v>
      </c>
      <c r="K805" s="90"/>
      <c r="L805" s="90">
        <v>0</v>
      </c>
      <c r="M805" s="90"/>
      <c r="N805" s="90">
        <v>300000</v>
      </c>
      <c r="O805" s="90"/>
      <c r="P805" s="90">
        <v>153000</v>
      </c>
      <c r="Q805" s="90"/>
      <c r="R805" s="90">
        <v>0</v>
      </c>
    </row>
    <row r="806" spans="5:18" x14ac:dyDescent="0.15">
      <c r="E806" s="52" t="s">
        <v>421</v>
      </c>
      <c r="F806" s="75">
        <f>SUM(H806:L806)</f>
        <v>2594000</v>
      </c>
      <c r="G806" s="92"/>
      <c r="H806" s="90">
        <v>2047000</v>
      </c>
      <c r="I806" s="93"/>
      <c r="J806" s="90">
        <v>547000</v>
      </c>
      <c r="K806" s="93"/>
      <c r="L806" s="90">
        <v>0</v>
      </c>
      <c r="M806" s="93"/>
      <c r="N806" s="90">
        <v>1447000</v>
      </c>
      <c r="O806" s="93"/>
      <c r="P806" s="90">
        <v>1147000</v>
      </c>
      <c r="Q806" s="93"/>
      <c r="R806" s="90">
        <v>0</v>
      </c>
    </row>
    <row r="807" spans="5:18" x14ac:dyDescent="0.15">
      <c r="E807" s="52" t="s">
        <v>422</v>
      </c>
      <c r="F807" s="75">
        <f>SUM(H807:L807)</f>
        <v>3462000</v>
      </c>
      <c r="G807" s="92"/>
      <c r="H807" s="90">
        <v>-1000</v>
      </c>
      <c r="I807" s="93"/>
      <c r="J807" s="90">
        <v>3463000</v>
      </c>
      <c r="K807" s="93"/>
      <c r="L807" s="90">
        <v>0</v>
      </c>
      <c r="M807" s="93"/>
      <c r="N807" s="90">
        <v>1074000</v>
      </c>
      <c r="O807" s="93"/>
      <c r="P807" s="90">
        <v>2388000</v>
      </c>
      <c r="Q807" s="93"/>
      <c r="R807" s="90">
        <v>0</v>
      </c>
    </row>
    <row r="808" spans="5:18" x14ac:dyDescent="0.15">
      <c r="E808" s="52" t="s">
        <v>423</v>
      </c>
      <c r="G808" s="92"/>
      <c r="H808" s="90"/>
      <c r="I808" s="93"/>
      <c r="J808" s="90"/>
      <c r="K808" s="93"/>
      <c r="L808" s="90"/>
      <c r="M808" s="93"/>
      <c r="N808" s="90"/>
      <c r="O808" s="93"/>
      <c r="P808" s="90"/>
      <c r="Q808" s="93"/>
      <c r="R808" s="90"/>
    </row>
    <row r="809" spans="5:18" x14ac:dyDescent="0.15">
      <c r="E809" s="52" t="s">
        <v>424</v>
      </c>
      <c r="F809" s="75">
        <f>SUM(H809:L809)</f>
        <v>2723000</v>
      </c>
      <c r="G809" s="92"/>
      <c r="H809" s="90">
        <v>937000</v>
      </c>
      <c r="I809" s="93"/>
      <c r="J809" s="90">
        <v>1772000</v>
      </c>
      <c r="K809" s="93"/>
      <c r="L809" s="90">
        <v>14000</v>
      </c>
      <c r="M809" s="93"/>
      <c r="N809" s="90">
        <v>1338000</v>
      </c>
      <c r="O809" s="93"/>
      <c r="P809" s="90">
        <v>1385000</v>
      </c>
      <c r="Q809" s="93"/>
      <c r="R809" s="90">
        <v>0</v>
      </c>
    </row>
    <row r="810" spans="5:18" x14ac:dyDescent="0.15">
      <c r="E810" s="52" t="s">
        <v>425</v>
      </c>
      <c r="F810" s="75">
        <f>SUM(H810:L810)</f>
        <v>2900000</v>
      </c>
      <c r="G810" s="69"/>
      <c r="H810" s="86">
        <v>1506000</v>
      </c>
      <c r="I810" s="90"/>
      <c r="J810" s="86">
        <v>1359000</v>
      </c>
      <c r="K810" s="90"/>
      <c r="L810" s="86">
        <v>35000</v>
      </c>
      <c r="M810" s="90"/>
      <c r="N810" s="90">
        <v>1752000</v>
      </c>
      <c r="O810" s="90"/>
      <c r="P810" s="90">
        <v>1148000</v>
      </c>
      <c r="Q810" s="90"/>
      <c r="R810" s="90">
        <v>0</v>
      </c>
    </row>
    <row r="811" spans="5:18" x14ac:dyDescent="0.15">
      <c r="E811" s="52" t="s">
        <v>426</v>
      </c>
      <c r="G811" s="92"/>
      <c r="H811" s="90"/>
      <c r="I811" s="93"/>
      <c r="J811" s="90"/>
      <c r="K811" s="93"/>
      <c r="L811" s="90"/>
      <c r="M811" s="93"/>
      <c r="N811" s="90"/>
      <c r="O811" s="93"/>
      <c r="P811" s="90"/>
      <c r="Q811" s="93"/>
      <c r="R811" s="90"/>
    </row>
    <row r="812" spans="5:18" x14ac:dyDescent="0.15">
      <c r="E812" s="52" t="s">
        <v>415</v>
      </c>
      <c r="F812" s="75">
        <f>SUM(H812:L812)</f>
        <v>1059000</v>
      </c>
      <c r="G812" s="92"/>
      <c r="H812" s="90">
        <v>983000</v>
      </c>
      <c r="I812" s="93"/>
      <c r="J812" s="90">
        <v>76000</v>
      </c>
      <c r="K812" s="93"/>
      <c r="L812" s="90">
        <v>0</v>
      </c>
      <c r="M812" s="93"/>
      <c r="N812" s="90">
        <v>704000</v>
      </c>
      <c r="O812" s="93"/>
      <c r="P812" s="90">
        <v>355000</v>
      </c>
      <c r="Q812" s="93"/>
      <c r="R812" s="90">
        <v>0</v>
      </c>
    </row>
    <row r="813" spans="5:18" x14ac:dyDescent="0.15">
      <c r="E813" s="52" t="s">
        <v>427</v>
      </c>
      <c r="F813" s="75">
        <f>SUM(H813:L813)</f>
        <v>3578000</v>
      </c>
      <c r="G813" s="92"/>
      <c r="H813" s="90">
        <v>2332000</v>
      </c>
      <c r="I813" s="93"/>
      <c r="J813" s="90">
        <v>1133000</v>
      </c>
      <c r="K813" s="93"/>
      <c r="L813" s="90">
        <v>113000</v>
      </c>
      <c r="M813" s="93"/>
      <c r="N813" s="90">
        <v>1919000</v>
      </c>
      <c r="O813" s="93"/>
      <c r="P813" s="90">
        <v>1659000</v>
      </c>
      <c r="Q813" s="93"/>
      <c r="R813" s="90">
        <v>0</v>
      </c>
    </row>
    <row r="814" spans="5:18" x14ac:dyDescent="0.15">
      <c r="E814" s="52" t="s">
        <v>428</v>
      </c>
      <c r="F814" s="75">
        <f>SUM(H814:L814)</f>
        <v>2447000</v>
      </c>
      <c r="G814" s="92"/>
      <c r="H814" s="90">
        <v>2000</v>
      </c>
      <c r="I814" s="93"/>
      <c r="J814" s="90">
        <v>2353000</v>
      </c>
      <c r="K814" s="93"/>
      <c r="L814" s="90">
        <v>92000</v>
      </c>
      <c r="M814" s="93"/>
      <c r="N814" s="90">
        <v>1371000</v>
      </c>
      <c r="O814" s="93"/>
      <c r="P814" s="90">
        <v>1076000</v>
      </c>
      <c r="Q814" s="93"/>
      <c r="R814" s="90">
        <v>0</v>
      </c>
    </row>
    <row r="815" spans="5:18" x14ac:dyDescent="0.15">
      <c r="E815" s="52" t="s">
        <v>429</v>
      </c>
      <c r="G815" s="69"/>
      <c r="H815" s="90"/>
      <c r="I815" s="90"/>
      <c r="J815" s="90"/>
      <c r="K815" s="90"/>
      <c r="L815" s="90"/>
      <c r="M815" s="90"/>
      <c r="N815" s="90"/>
      <c r="O815" s="90"/>
      <c r="P815" s="90"/>
      <c r="Q815" s="90"/>
      <c r="R815" s="90"/>
    </row>
    <row r="816" spans="5:18" x14ac:dyDescent="0.15">
      <c r="E816" s="52" t="s">
        <v>430</v>
      </c>
      <c r="F816" s="94">
        <f>SUM(H816:L816)</f>
        <v>4340000</v>
      </c>
      <c r="G816" s="69"/>
      <c r="H816" s="95">
        <v>2453000</v>
      </c>
      <c r="I816" s="90"/>
      <c r="J816" s="95">
        <v>1682000</v>
      </c>
      <c r="K816" s="90"/>
      <c r="L816" s="95">
        <v>205000</v>
      </c>
      <c r="M816" s="90"/>
      <c r="N816" s="95">
        <v>2741000</v>
      </c>
      <c r="O816" s="90"/>
      <c r="P816" s="95">
        <v>1599000</v>
      </c>
      <c r="Q816" s="90"/>
      <c r="R816" s="95">
        <v>0</v>
      </c>
    </row>
    <row r="817" spans="3:18" x14ac:dyDescent="0.15"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</row>
    <row r="818" spans="3:18" x14ac:dyDescent="0.15">
      <c r="E818" s="52" t="s">
        <v>3</v>
      </c>
      <c r="F818" s="94">
        <f>SUM(H818:L818)</f>
        <v>35690000</v>
      </c>
      <c r="G818" s="69"/>
      <c r="H818" s="94">
        <f>SUM(H792:H817)</f>
        <v>17657000</v>
      </c>
      <c r="I818" s="69"/>
      <c r="J818" s="94">
        <f>SUM(J792:J817)</f>
        <v>17482000</v>
      </c>
      <c r="K818" s="69"/>
      <c r="L818" s="94">
        <f>SUM(L792:L817)</f>
        <v>551000</v>
      </c>
      <c r="M818" s="69"/>
      <c r="N818" s="94">
        <f>SUM(N792:N817)</f>
        <v>21337000</v>
      </c>
      <c r="O818" s="69"/>
      <c r="P818" s="94">
        <f>SUM(P792:P817)</f>
        <v>14366000</v>
      </c>
      <c r="Q818" s="69"/>
      <c r="R818" s="94">
        <f>SUM(R792:R817)</f>
        <v>13000</v>
      </c>
    </row>
    <row r="819" spans="3:18" x14ac:dyDescent="0.15">
      <c r="C819" s="86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</row>
    <row r="820" spans="3:18" x14ac:dyDescent="0.15">
      <c r="C820" s="53" t="s">
        <v>431</v>
      </c>
      <c r="D820" s="52"/>
      <c r="F820" s="94">
        <f>SUM(H820:L820)</f>
        <v>1363000</v>
      </c>
      <c r="G820" s="69"/>
      <c r="H820" s="95">
        <v>1195000</v>
      </c>
      <c r="I820" s="93"/>
      <c r="J820" s="95">
        <v>165000</v>
      </c>
      <c r="K820" s="93"/>
      <c r="L820" s="95">
        <v>3000</v>
      </c>
      <c r="M820" s="93"/>
      <c r="N820" s="95">
        <v>941000</v>
      </c>
      <c r="O820" s="93"/>
      <c r="P820" s="95">
        <v>422000</v>
      </c>
      <c r="Q820" s="93"/>
      <c r="R820" s="95">
        <v>0</v>
      </c>
    </row>
    <row r="821" spans="3:18" x14ac:dyDescent="0.15">
      <c r="C821" s="86"/>
      <c r="D821" s="52"/>
      <c r="G821" s="69"/>
      <c r="H821" s="75"/>
      <c r="I821" s="75"/>
      <c r="J821" s="75"/>
      <c r="K821" s="75"/>
      <c r="L821" s="75"/>
      <c r="M821" s="75"/>
      <c r="N821" s="75"/>
      <c r="O821" s="75"/>
      <c r="P821" s="75"/>
      <c r="Q821" s="75"/>
      <c r="R821" s="75"/>
    </row>
    <row r="822" spans="3:18" x14ac:dyDescent="0.15">
      <c r="C822" s="52" t="s">
        <v>432</v>
      </c>
      <c r="D822" s="52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</row>
    <row r="823" spans="3:18" x14ac:dyDescent="0.15">
      <c r="E823" s="52" t="s">
        <v>433</v>
      </c>
      <c r="F823" s="75">
        <f>SUM(H823:L823)</f>
        <v>3094000</v>
      </c>
      <c r="G823" s="92"/>
      <c r="H823" s="90">
        <v>2611000</v>
      </c>
      <c r="I823" s="93"/>
      <c r="J823" s="90">
        <v>483000</v>
      </c>
      <c r="K823" s="93"/>
      <c r="L823" s="90">
        <v>0</v>
      </c>
      <c r="M823" s="93"/>
      <c r="N823" s="90">
        <v>2155000</v>
      </c>
      <c r="O823" s="93"/>
      <c r="P823" s="90">
        <v>939000</v>
      </c>
      <c r="Q823" s="93"/>
      <c r="R823" s="90">
        <v>0</v>
      </c>
    </row>
    <row r="824" spans="3:18" x14ac:dyDescent="0.15">
      <c r="E824" s="52" t="s">
        <v>434</v>
      </c>
      <c r="F824" s="75">
        <f>SUM(H824:L824)</f>
        <v>1495000</v>
      </c>
      <c r="G824" s="92"/>
      <c r="H824" s="90">
        <v>1493000</v>
      </c>
      <c r="I824" s="93"/>
      <c r="J824" s="90">
        <v>2000</v>
      </c>
      <c r="K824" s="93"/>
      <c r="L824" s="90">
        <v>0</v>
      </c>
      <c r="M824" s="93"/>
      <c r="N824" s="90">
        <v>1000000</v>
      </c>
      <c r="O824" s="93"/>
      <c r="P824" s="90">
        <v>495000</v>
      </c>
      <c r="Q824" s="93"/>
      <c r="R824" s="90">
        <v>0</v>
      </c>
    </row>
    <row r="825" spans="3:18" x14ac:dyDescent="0.15">
      <c r="E825" s="52" t="s">
        <v>435</v>
      </c>
      <c r="F825" s="94">
        <f>SUM(H825:L825)</f>
        <v>1699000</v>
      </c>
      <c r="G825" s="69"/>
      <c r="H825" s="95">
        <v>250000</v>
      </c>
      <c r="I825" s="90"/>
      <c r="J825" s="95">
        <v>1449000</v>
      </c>
      <c r="K825" s="90"/>
      <c r="L825" s="95">
        <v>0</v>
      </c>
      <c r="M825" s="90"/>
      <c r="N825" s="95">
        <v>895000</v>
      </c>
      <c r="O825" s="90"/>
      <c r="P825" s="95">
        <v>804000</v>
      </c>
      <c r="Q825" s="90"/>
      <c r="R825" s="95">
        <v>0</v>
      </c>
    </row>
    <row r="826" spans="3:18" x14ac:dyDescent="0.15">
      <c r="G826" s="69"/>
      <c r="H826" s="90"/>
      <c r="I826" s="90"/>
      <c r="J826" s="90"/>
      <c r="K826" s="90"/>
      <c r="L826" s="90"/>
      <c r="M826" s="90"/>
      <c r="N826" s="90"/>
      <c r="O826" s="90"/>
      <c r="P826" s="90"/>
      <c r="Q826" s="90"/>
      <c r="R826" s="90"/>
    </row>
    <row r="827" spans="3:18" x14ac:dyDescent="0.15">
      <c r="C827" s="86"/>
      <c r="D827" s="86"/>
      <c r="E827" s="52" t="s">
        <v>3</v>
      </c>
      <c r="F827" s="94">
        <f>SUM(H827:L827)</f>
        <v>6288000</v>
      </c>
      <c r="G827" s="69"/>
      <c r="H827" s="95">
        <f>SUM(H823:H825)</f>
        <v>4354000</v>
      </c>
      <c r="I827" s="90"/>
      <c r="J827" s="95">
        <f>SUM(J823:J825)</f>
        <v>1934000</v>
      </c>
      <c r="K827" s="90"/>
      <c r="L827" s="95">
        <f>SUM(L823:L825)</f>
        <v>0</v>
      </c>
      <c r="M827" s="90"/>
      <c r="N827" s="95">
        <f>SUM(N823:N825)</f>
        <v>4050000</v>
      </c>
      <c r="O827" s="90"/>
      <c r="P827" s="95">
        <f>SUM(P823:P825)</f>
        <v>2238000</v>
      </c>
      <c r="Q827" s="90"/>
      <c r="R827" s="95">
        <f>SUM(R823:R825)</f>
        <v>0</v>
      </c>
    </row>
    <row r="828" spans="3:18" x14ac:dyDescent="0.15"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</row>
    <row r="829" spans="3:18" x14ac:dyDescent="0.15">
      <c r="C829" s="53" t="s">
        <v>436</v>
      </c>
      <c r="D829" s="52"/>
      <c r="E829" s="91"/>
      <c r="G829" s="69"/>
      <c r="H829" s="90"/>
      <c r="I829" s="90"/>
      <c r="J829" s="90"/>
      <c r="K829" s="90"/>
      <c r="L829" s="90"/>
      <c r="M829" s="90"/>
      <c r="N829" s="90"/>
      <c r="O829" s="90"/>
      <c r="P829" s="90"/>
      <c r="Q829" s="90"/>
      <c r="R829" s="90"/>
    </row>
    <row r="830" spans="3:18" x14ac:dyDescent="0.15">
      <c r="C830" s="52"/>
      <c r="D830" s="52"/>
      <c r="E830" s="91" t="s">
        <v>437</v>
      </c>
      <c r="F830" s="75">
        <f t="shared" ref="F830:F833" si="27">SUM(H830:L830)</f>
        <v>6410000</v>
      </c>
      <c r="G830" s="92"/>
      <c r="H830" s="90">
        <v>2847000</v>
      </c>
      <c r="I830" s="93"/>
      <c r="J830" s="90">
        <v>3563000</v>
      </c>
      <c r="K830" s="93"/>
      <c r="L830" s="90">
        <v>0</v>
      </c>
      <c r="M830" s="93"/>
      <c r="N830" s="90">
        <v>3990000</v>
      </c>
      <c r="O830" s="93"/>
      <c r="P830" s="90">
        <v>2653000</v>
      </c>
      <c r="Q830" s="93"/>
      <c r="R830" s="90">
        <v>233000</v>
      </c>
    </row>
    <row r="831" spans="3:18" x14ac:dyDescent="0.15">
      <c r="C831" s="52"/>
      <c r="D831" s="52"/>
      <c r="E831" s="91" t="s">
        <v>438</v>
      </c>
      <c r="F831" s="75">
        <f t="shared" si="27"/>
        <v>1544000</v>
      </c>
      <c r="G831" s="92"/>
      <c r="H831" s="90">
        <v>1374000</v>
      </c>
      <c r="I831" s="93"/>
      <c r="J831" s="90">
        <v>170000</v>
      </c>
      <c r="K831" s="93"/>
      <c r="L831" s="90">
        <v>0</v>
      </c>
      <c r="M831" s="93"/>
      <c r="N831" s="90">
        <v>1248000</v>
      </c>
      <c r="O831" s="93"/>
      <c r="P831" s="90">
        <v>296000</v>
      </c>
      <c r="Q831" s="93"/>
      <c r="R831" s="90">
        <v>0</v>
      </c>
    </row>
    <row r="832" spans="3:18" x14ac:dyDescent="0.15">
      <c r="C832" s="52"/>
      <c r="D832" s="52"/>
      <c r="E832" s="91" t="s">
        <v>439</v>
      </c>
      <c r="F832" s="75">
        <f t="shared" si="27"/>
        <v>1893000</v>
      </c>
      <c r="G832" s="92"/>
      <c r="H832" s="90">
        <v>1190000</v>
      </c>
      <c r="I832" s="93"/>
      <c r="J832" s="90">
        <v>703000</v>
      </c>
      <c r="K832" s="93"/>
      <c r="L832" s="90">
        <v>0</v>
      </c>
      <c r="M832" s="93"/>
      <c r="N832" s="90">
        <v>1236000</v>
      </c>
      <c r="O832" s="93"/>
      <c r="P832" s="90">
        <v>657000</v>
      </c>
      <c r="Q832" s="93"/>
      <c r="R832" s="90">
        <v>0</v>
      </c>
    </row>
    <row r="833" spans="3:18" x14ac:dyDescent="0.15">
      <c r="C833" s="52"/>
      <c r="D833" s="52"/>
      <c r="E833" s="91" t="s">
        <v>440</v>
      </c>
      <c r="F833" s="75">
        <f t="shared" si="27"/>
        <v>2192000</v>
      </c>
      <c r="G833" s="92"/>
      <c r="H833" s="90">
        <v>1703000</v>
      </c>
      <c r="I833" s="93"/>
      <c r="J833" s="90">
        <v>489000</v>
      </c>
      <c r="K833" s="93"/>
      <c r="L833" s="90">
        <v>0</v>
      </c>
      <c r="M833" s="93"/>
      <c r="N833" s="90">
        <v>1587000</v>
      </c>
      <c r="O833" s="93"/>
      <c r="P833" s="90">
        <v>605000</v>
      </c>
      <c r="Q833" s="93"/>
      <c r="R833" s="90">
        <v>0</v>
      </c>
    </row>
    <row r="834" spans="3:18" x14ac:dyDescent="0.15">
      <c r="C834" s="52"/>
      <c r="D834" s="52"/>
      <c r="E834" s="91"/>
      <c r="F834" s="65"/>
      <c r="G834" s="69"/>
      <c r="H834" s="100"/>
      <c r="I834" s="90"/>
      <c r="J834" s="100"/>
      <c r="K834" s="90"/>
      <c r="L834" s="100"/>
      <c r="M834" s="90"/>
      <c r="N834" s="100"/>
      <c r="O834" s="90"/>
      <c r="P834" s="100"/>
      <c r="Q834" s="90"/>
      <c r="R834" s="100"/>
    </row>
    <row r="835" spans="3:18" x14ac:dyDescent="0.15">
      <c r="C835" s="52"/>
      <c r="D835" s="52"/>
      <c r="E835" s="52" t="s">
        <v>60</v>
      </c>
      <c r="F835" s="94">
        <f>SUM(H835:L835)</f>
        <v>12039000</v>
      </c>
      <c r="G835" s="69"/>
      <c r="H835" s="95">
        <f>SUM(H830:H834)</f>
        <v>7114000</v>
      </c>
      <c r="I835" s="90"/>
      <c r="J835" s="95">
        <f>SUM(J830:J834)</f>
        <v>4925000</v>
      </c>
      <c r="K835" s="90"/>
      <c r="L835" s="95">
        <f>SUM(L830:L834)</f>
        <v>0</v>
      </c>
      <c r="M835" s="90"/>
      <c r="N835" s="95">
        <f>SUM(N830:N834)</f>
        <v>8061000</v>
      </c>
      <c r="O835" s="90"/>
      <c r="P835" s="95">
        <f>SUM(P830:P834)</f>
        <v>4211000</v>
      </c>
      <c r="Q835" s="90"/>
      <c r="R835" s="95">
        <f>SUM(R830:R834)</f>
        <v>233000</v>
      </c>
    </row>
    <row r="836" spans="3:18" x14ac:dyDescent="0.15">
      <c r="D836" s="52"/>
      <c r="E836" s="91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</row>
    <row r="837" spans="3:18" x14ac:dyDescent="0.15">
      <c r="C837" s="52" t="s">
        <v>441</v>
      </c>
      <c r="D837" s="52"/>
      <c r="E837" s="91"/>
      <c r="F837" s="94">
        <f>SUM(H837:L837)</f>
        <v>1309000</v>
      </c>
      <c r="G837" s="69"/>
      <c r="H837" s="95">
        <v>134000</v>
      </c>
      <c r="I837" s="90"/>
      <c r="J837" s="95">
        <v>1175000</v>
      </c>
      <c r="K837" s="90"/>
      <c r="L837" s="95">
        <v>0</v>
      </c>
      <c r="M837" s="90"/>
      <c r="N837" s="95">
        <v>829000</v>
      </c>
      <c r="O837" s="90"/>
      <c r="P837" s="95">
        <v>480000</v>
      </c>
      <c r="Q837" s="90"/>
      <c r="R837" s="95">
        <v>0</v>
      </c>
    </row>
    <row r="838" spans="3:18" x14ac:dyDescent="0.15">
      <c r="C838" s="52"/>
      <c r="D838" s="52"/>
      <c r="E838" s="91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</row>
    <row r="839" spans="3:18" x14ac:dyDescent="0.15">
      <c r="C839" s="52" t="s">
        <v>442</v>
      </c>
      <c r="D839" s="52"/>
      <c r="E839" s="91"/>
      <c r="F839" s="94">
        <f>SUM(H839:L839)</f>
        <v>882000</v>
      </c>
      <c r="G839" s="69"/>
      <c r="H839" s="95">
        <v>1000</v>
      </c>
      <c r="I839" s="90"/>
      <c r="J839" s="95">
        <v>881000</v>
      </c>
      <c r="K839" s="90"/>
      <c r="L839" s="95">
        <v>0</v>
      </c>
      <c r="M839" s="90"/>
      <c r="N839" s="95">
        <v>1603000</v>
      </c>
      <c r="O839" s="90"/>
      <c r="P839" s="95">
        <v>-721000</v>
      </c>
      <c r="Q839" s="90"/>
      <c r="R839" s="95">
        <v>0</v>
      </c>
    </row>
    <row r="840" spans="3:18" x14ac:dyDescent="0.15">
      <c r="C840" s="52"/>
      <c r="D840" s="52"/>
      <c r="E840" s="91"/>
      <c r="G840" s="69"/>
      <c r="H840" s="75"/>
      <c r="I840" s="69"/>
      <c r="J840" s="75"/>
      <c r="K840" s="75"/>
      <c r="L840" s="75"/>
      <c r="M840" s="75"/>
      <c r="N840" s="75"/>
      <c r="O840" s="75"/>
      <c r="P840" s="75"/>
      <c r="Q840" s="69"/>
      <c r="R840" s="75"/>
    </row>
    <row r="841" spans="3:18" x14ac:dyDescent="0.15">
      <c r="C841" s="52" t="s">
        <v>443</v>
      </c>
      <c r="D841" s="52"/>
      <c r="E841" s="91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</row>
    <row r="842" spans="3:18" x14ac:dyDescent="0.15">
      <c r="C842" s="52"/>
      <c r="D842" s="52" t="s">
        <v>33</v>
      </c>
      <c r="E842" s="91"/>
      <c r="F842" s="94">
        <f>SUM(H842:L842)</f>
        <v>5287000</v>
      </c>
      <c r="G842" s="69"/>
      <c r="H842" s="95">
        <v>1106000</v>
      </c>
      <c r="I842" s="90"/>
      <c r="J842" s="95">
        <v>4180000</v>
      </c>
      <c r="K842" s="90"/>
      <c r="L842" s="95">
        <v>1000</v>
      </c>
      <c r="M842" s="90"/>
      <c r="N842" s="95">
        <v>3298000</v>
      </c>
      <c r="O842" s="90"/>
      <c r="P842" s="95">
        <v>2367000</v>
      </c>
      <c r="Q842" s="90"/>
      <c r="R842" s="95">
        <v>378000</v>
      </c>
    </row>
    <row r="843" spans="3:18" x14ac:dyDescent="0.15"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</row>
    <row r="844" spans="3:18" x14ac:dyDescent="0.15">
      <c r="C844" s="53" t="s">
        <v>444</v>
      </c>
      <c r="F844" s="94">
        <f>SUM(H844:L844)</f>
        <v>10241000</v>
      </c>
      <c r="G844" s="69"/>
      <c r="H844" s="95">
        <v>8159000</v>
      </c>
      <c r="I844" s="90"/>
      <c r="J844" s="95">
        <v>2023000</v>
      </c>
      <c r="K844" s="90"/>
      <c r="L844" s="95">
        <v>59000</v>
      </c>
      <c r="M844" s="90"/>
      <c r="N844" s="95">
        <v>4837000</v>
      </c>
      <c r="O844" s="90"/>
      <c r="P844" s="95">
        <v>5533000</v>
      </c>
      <c r="Q844" s="90"/>
      <c r="R844" s="95">
        <v>129000</v>
      </c>
    </row>
    <row r="845" spans="3:18" x14ac:dyDescent="0.15">
      <c r="C845" s="52"/>
      <c r="D845" s="52"/>
      <c r="E845" s="91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</row>
    <row r="846" spans="3:18" x14ac:dyDescent="0.15">
      <c r="C846" s="52" t="s">
        <v>445</v>
      </c>
      <c r="D846" s="52"/>
      <c r="E846" s="91"/>
      <c r="G846" s="69"/>
      <c r="H846" s="90"/>
      <c r="I846" s="90"/>
      <c r="J846" s="90"/>
      <c r="K846" s="90"/>
      <c r="L846" s="90"/>
      <c r="M846" s="90"/>
      <c r="N846" s="90"/>
      <c r="O846" s="90"/>
      <c r="P846" s="90"/>
      <c r="Q846" s="90"/>
      <c r="R846" s="90"/>
    </row>
    <row r="847" spans="3:18" x14ac:dyDescent="0.15">
      <c r="C847" s="52"/>
      <c r="D847" s="52"/>
      <c r="E847" s="91" t="s">
        <v>326</v>
      </c>
      <c r="F847" s="75">
        <f>SUM(H847:L847)</f>
        <v>13583000</v>
      </c>
      <c r="G847" s="92"/>
      <c r="H847" s="90">
        <v>7212000</v>
      </c>
      <c r="I847" s="93"/>
      <c r="J847" s="90">
        <v>6371000</v>
      </c>
      <c r="K847" s="93"/>
      <c r="L847" s="90">
        <v>0</v>
      </c>
      <c r="M847" s="93"/>
      <c r="N847" s="90">
        <v>5431000</v>
      </c>
      <c r="O847" s="93"/>
      <c r="P847" s="90">
        <v>10908000</v>
      </c>
      <c r="Q847" s="93"/>
      <c r="R847" s="90">
        <v>2756000</v>
      </c>
    </row>
    <row r="848" spans="3:18" x14ac:dyDescent="0.15">
      <c r="C848" s="52"/>
      <c r="D848" s="52"/>
      <c r="E848" s="91" t="s">
        <v>446</v>
      </c>
      <c r="G848" s="69"/>
      <c r="H848" s="90"/>
      <c r="I848" s="90"/>
      <c r="J848" s="90"/>
      <c r="K848" s="90"/>
      <c r="L848" s="90"/>
      <c r="M848" s="90"/>
      <c r="N848" s="90"/>
      <c r="O848" s="90"/>
      <c r="P848" s="90"/>
      <c r="Q848" s="90"/>
      <c r="R848" s="90"/>
    </row>
    <row r="849" spans="1:18" x14ac:dyDescent="0.15">
      <c r="C849" s="52"/>
      <c r="D849" s="52"/>
      <c r="E849" s="52" t="s">
        <v>447</v>
      </c>
      <c r="F849" s="75">
        <f>SUM(H849:L849)</f>
        <v>1626000</v>
      </c>
      <c r="G849" s="92"/>
      <c r="H849" s="90">
        <v>1662000</v>
      </c>
      <c r="I849" s="93"/>
      <c r="J849" s="90">
        <v>-38000</v>
      </c>
      <c r="K849" s="93"/>
      <c r="L849" s="90">
        <v>2000</v>
      </c>
      <c r="M849" s="93"/>
      <c r="N849" s="90">
        <v>486000</v>
      </c>
      <c r="O849" s="93"/>
      <c r="P849" s="90">
        <v>1294000</v>
      </c>
      <c r="Q849" s="93"/>
      <c r="R849" s="90">
        <v>154000</v>
      </c>
    </row>
    <row r="850" spans="1:18" x14ac:dyDescent="0.15">
      <c r="C850" s="52"/>
      <c r="D850" s="52"/>
      <c r="E850" s="91" t="s">
        <v>448</v>
      </c>
      <c r="F850" s="75">
        <f>SUM(H850:L850)</f>
        <v>188000</v>
      </c>
      <c r="G850" s="92"/>
      <c r="H850" s="90">
        <v>23000</v>
      </c>
      <c r="I850" s="93"/>
      <c r="J850" s="90">
        <v>165000</v>
      </c>
      <c r="K850" s="93"/>
      <c r="L850" s="90">
        <v>0</v>
      </c>
      <c r="M850" s="93"/>
      <c r="N850" s="90">
        <v>98000</v>
      </c>
      <c r="O850" s="93"/>
      <c r="P850" s="90">
        <v>90000</v>
      </c>
      <c r="Q850" s="93"/>
      <c r="R850" s="90">
        <v>0</v>
      </c>
    </row>
    <row r="851" spans="1:18" x14ac:dyDescent="0.15">
      <c r="C851" s="52"/>
      <c r="D851" s="52"/>
      <c r="E851" s="91" t="s">
        <v>449</v>
      </c>
      <c r="F851" s="75">
        <f>SUM(H851:L851)</f>
        <v>2665000</v>
      </c>
      <c r="G851" s="92"/>
      <c r="H851" s="90">
        <v>982000</v>
      </c>
      <c r="I851" s="93"/>
      <c r="J851" s="90">
        <v>1683000</v>
      </c>
      <c r="K851" s="93"/>
      <c r="L851" s="90">
        <v>0</v>
      </c>
      <c r="M851" s="93"/>
      <c r="N851" s="90">
        <v>1628000</v>
      </c>
      <c r="O851" s="93"/>
      <c r="P851" s="90">
        <v>1037000</v>
      </c>
      <c r="Q851" s="93"/>
      <c r="R851" s="90">
        <v>0</v>
      </c>
    </row>
    <row r="852" spans="1:18" x14ac:dyDescent="0.15">
      <c r="C852" s="52"/>
      <c r="D852" s="52"/>
      <c r="E852" s="91" t="s">
        <v>450</v>
      </c>
      <c r="F852" s="94">
        <f>SUM(H852:L852)</f>
        <v>6595000</v>
      </c>
      <c r="G852" s="69"/>
      <c r="H852" s="95">
        <v>6276000</v>
      </c>
      <c r="I852" s="90"/>
      <c r="J852" s="95">
        <v>319000</v>
      </c>
      <c r="K852" s="90"/>
      <c r="L852" s="95">
        <v>0</v>
      </c>
      <c r="M852" s="90"/>
      <c r="N852" s="95">
        <v>4214000</v>
      </c>
      <c r="O852" s="90"/>
      <c r="P852" s="95">
        <v>2658000</v>
      </c>
      <c r="Q852" s="90"/>
      <c r="R852" s="95">
        <v>277000</v>
      </c>
    </row>
    <row r="853" spans="1:18" x14ac:dyDescent="0.15">
      <c r="C853" s="52"/>
      <c r="D853" s="52"/>
      <c r="E853" s="91"/>
      <c r="G853" s="69"/>
      <c r="H853" s="90"/>
      <c r="I853" s="90"/>
      <c r="J853" s="90"/>
      <c r="K853" s="90"/>
      <c r="L853" s="90"/>
      <c r="M853" s="90"/>
      <c r="N853" s="90"/>
      <c r="O853" s="90"/>
      <c r="P853" s="90"/>
      <c r="Q853" s="90"/>
      <c r="R853" s="90"/>
    </row>
    <row r="854" spans="1:18" x14ac:dyDescent="0.15">
      <c r="C854" s="52"/>
      <c r="D854" s="52"/>
      <c r="E854" s="52" t="s">
        <v>60</v>
      </c>
      <c r="F854" s="94">
        <f>SUM(H854:L854)</f>
        <v>24657000</v>
      </c>
      <c r="G854" s="69"/>
      <c r="H854" s="95">
        <f>SUM(H847:H853)</f>
        <v>16155000</v>
      </c>
      <c r="I854" s="90"/>
      <c r="J854" s="95">
        <f>SUM(J847:J853)</f>
        <v>8500000</v>
      </c>
      <c r="K854" s="90"/>
      <c r="L854" s="95">
        <f>SUM(L847:L853)</f>
        <v>2000</v>
      </c>
      <c r="M854" s="90"/>
      <c r="N854" s="95">
        <f>SUM(N847:N853)</f>
        <v>11857000</v>
      </c>
      <c r="O854" s="90"/>
      <c r="P854" s="95">
        <f>SUM(P847:P853)</f>
        <v>15987000</v>
      </c>
      <c r="Q854" s="90"/>
      <c r="R854" s="95">
        <f>SUM(R847:R853)</f>
        <v>3187000</v>
      </c>
    </row>
    <row r="855" spans="1:18" x14ac:dyDescent="0.15">
      <c r="C855" s="52"/>
      <c r="D855" s="52"/>
      <c r="E855" s="91"/>
      <c r="G855" s="69"/>
      <c r="H855" s="90"/>
      <c r="I855" s="90"/>
      <c r="J855" s="90"/>
      <c r="K855" s="90"/>
      <c r="L855" s="90"/>
      <c r="M855" s="90"/>
      <c r="N855" s="90"/>
      <c r="O855" s="90"/>
      <c r="P855" s="90"/>
      <c r="Q855" s="90"/>
      <c r="R855" s="90"/>
    </row>
    <row r="856" spans="1:18" x14ac:dyDescent="0.15">
      <c r="C856" s="52" t="s">
        <v>451</v>
      </c>
      <c r="D856" s="52"/>
      <c r="E856" s="91"/>
      <c r="G856" s="69"/>
      <c r="H856" s="90"/>
      <c r="I856" s="90"/>
      <c r="J856" s="90"/>
      <c r="K856" s="90"/>
      <c r="L856" s="90"/>
      <c r="M856" s="90"/>
      <c r="N856" s="90"/>
      <c r="O856" s="90"/>
      <c r="P856" s="90"/>
      <c r="Q856" s="90"/>
      <c r="R856" s="90"/>
    </row>
    <row r="857" spans="1:18" x14ac:dyDescent="0.15">
      <c r="C857" s="52"/>
      <c r="D857" s="52" t="s">
        <v>452</v>
      </c>
      <c r="E857" s="91"/>
      <c r="F857" s="94">
        <f>SUM(H857:L857)</f>
        <v>3643000</v>
      </c>
      <c r="G857" s="69"/>
      <c r="H857" s="95">
        <v>1787000</v>
      </c>
      <c r="I857" s="90"/>
      <c r="J857" s="95">
        <v>1850000</v>
      </c>
      <c r="K857" s="90"/>
      <c r="L857" s="95">
        <v>6000</v>
      </c>
      <c r="M857" s="90"/>
      <c r="N857" s="95">
        <v>3001000</v>
      </c>
      <c r="O857" s="90"/>
      <c r="P857" s="95">
        <v>1609000</v>
      </c>
      <c r="Q857" s="90"/>
      <c r="R857" s="95">
        <v>967000</v>
      </c>
    </row>
    <row r="858" spans="1:18" x14ac:dyDescent="0.15">
      <c r="A858" s="86"/>
      <c r="B858" s="86"/>
      <c r="C858" s="86"/>
      <c r="D858" s="86"/>
      <c r="E858" s="91"/>
      <c r="G858" s="69"/>
      <c r="H858" s="90"/>
      <c r="I858" s="90"/>
      <c r="J858" s="90"/>
      <c r="K858" s="90"/>
      <c r="L858" s="90"/>
      <c r="M858" s="90"/>
      <c r="N858" s="90"/>
      <c r="O858" s="90"/>
      <c r="P858" s="90"/>
      <c r="Q858" s="90"/>
      <c r="R858" s="90"/>
    </row>
    <row r="859" spans="1:18" x14ac:dyDescent="0.15">
      <c r="C859" s="52" t="s">
        <v>453</v>
      </c>
      <c r="D859" s="52"/>
      <c r="E859" s="91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</row>
    <row r="860" spans="1:18" x14ac:dyDescent="0.15">
      <c r="C860" s="52"/>
      <c r="D860" s="52"/>
      <c r="E860" s="91" t="s">
        <v>454</v>
      </c>
      <c r="F860" s="75">
        <f>SUM(H860:L860)</f>
        <v>5507000</v>
      </c>
      <c r="G860" s="92"/>
      <c r="H860" s="90">
        <v>5286000</v>
      </c>
      <c r="I860" s="93"/>
      <c r="J860" s="90">
        <v>221000</v>
      </c>
      <c r="K860" s="93"/>
      <c r="L860" s="90">
        <v>0</v>
      </c>
      <c r="M860" s="93"/>
      <c r="N860" s="90">
        <v>3434000</v>
      </c>
      <c r="O860" s="93"/>
      <c r="P860" s="90">
        <v>2073000</v>
      </c>
      <c r="Q860" s="93"/>
      <c r="R860" s="90">
        <v>0</v>
      </c>
    </row>
    <row r="861" spans="1:18" x14ac:dyDescent="0.15">
      <c r="C861" s="52"/>
      <c r="D861" s="52"/>
      <c r="E861" s="91" t="s">
        <v>455</v>
      </c>
      <c r="F861" s="94">
        <f>SUM(H861:L861)</f>
        <v>263000</v>
      </c>
      <c r="G861" s="69"/>
      <c r="H861" s="95">
        <v>200000</v>
      </c>
      <c r="I861" s="90"/>
      <c r="J861" s="95">
        <v>43000</v>
      </c>
      <c r="K861" s="90"/>
      <c r="L861" s="95">
        <v>20000</v>
      </c>
      <c r="M861" s="90"/>
      <c r="N861" s="95">
        <v>159000</v>
      </c>
      <c r="O861" s="90"/>
      <c r="P861" s="95">
        <v>104000</v>
      </c>
      <c r="Q861" s="90"/>
      <c r="R861" s="95">
        <v>0</v>
      </c>
    </row>
    <row r="862" spans="1:18" x14ac:dyDescent="0.15">
      <c r="C862" s="86"/>
      <c r="D862" s="52"/>
      <c r="E862" s="91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</row>
    <row r="863" spans="1:18" x14ac:dyDescent="0.15">
      <c r="C863" s="52"/>
      <c r="D863" s="52"/>
      <c r="E863" s="52" t="s">
        <v>60</v>
      </c>
      <c r="F863" s="94">
        <f>SUM(H863:L863)</f>
        <v>5770000</v>
      </c>
      <c r="G863" s="69"/>
      <c r="H863" s="95">
        <f>SUM(H860:H862)</f>
        <v>5486000</v>
      </c>
      <c r="I863" s="69"/>
      <c r="J863" s="95">
        <f>SUM(J860:J862)</f>
        <v>264000</v>
      </c>
      <c r="K863" s="69"/>
      <c r="L863" s="95">
        <f>SUM(L860:L862)</f>
        <v>20000</v>
      </c>
      <c r="M863" s="69"/>
      <c r="N863" s="95">
        <f>SUM(N860:N862)</f>
        <v>3593000</v>
      </c>
      <c r="O863" s="69"/>
      <c r="P863" s="95">
        <f>SUM(P860:P862)</f>
        <v>2177000</v>
      </c>
      <c r="Q863" s="69"/>
      <c r="R863" s="95">
        <f>SUM(R860:R862)</f>
        <v>0</v>
      </c>
    </row>
    <row r="864" spans="1:18" x14ac:dyDescent="0.15"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</row>
    <row r="865" spans="2:18" x14ac:dyDescent="0.15"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</row>
    <row r="866" spans="2:18" x14ac:dyDescent="0.15">
      <c r="B866" s="79"/>
      <c r="C866" s="53" t="s">
        <v>456</v>
      </c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</row>
    <row r="867" spans="2:18" x14ac:dyDescent="0.15">
      <c r="C867" s="86"/>
      <c r="D867" s="86"/>
      <c r="E867" s="52" t="s">
        <v>457</v>
      </c>
      <c r="F867" s="75">
        <f>SUM(H867:L867)</f>
        <v>2205000</v>
      </c>
      <c r="G867" s="92"/>
      <c r="H867" s="90">
        <v>799000</v>
      </c>
      <c r="I867" s="93"/>
      <c r="J867" s="90">
        <v>1308000</v>
      </c>
      <c r="K867" s="93"/>
      <c r="L867" s="90">
        <v>98000</v>
      </c>
      <c r="M867" s="93"/>
      <c r="N867" s="90">
        <v>1374000</v>
      </c>
      <c r="O867" s="93"/>
      <c r="P867" s="90">
        <v>831000</v>
      </c>
      <c r="Q867" s="93"/>
      <c r="R867" s="90">
        <v>0</v>
      </c>
    </row>
    <row r="868" spans="2:18" x14ac:dyDescent="0.15">
      <c r="C868" s="86"/>
      <c r="D868" s="86"/>
      <c r="E868" s="52" t="s">
        <v>458</v>
      </c>
      <c r="F868" s="75">
        <f t="shared" ref="F868:F872" si="28">SUM(H868:L868)</f>
        <v>3904000</v>
      </c>
      <c r="G868" s="92"/>
      <c r="H868" s="90">
        <v>203000</v>
      </c>
      <c r="I868" s="93"/>
      <c r="J868" s="90">
        <v>3651000</v>
      </c>
      <c r="K868" s="93"/>
      <c r="L868" s="90">
        <v>50000</v>
      </c>
      <c r="M868" s="93"/>
      <c r="N868" s="90">
        <v>2509000</v>
      </c>
      <c r="O868" s="93"/>
      <c r="P868" s="90">
        <v>1411000</v>
      </c>
      <c r="Q868" s="93"/>
      <c r="R868" s="90">
        <v>16000</v>
      </c>
    </row>
    <row r="869" spans="2:18" x14ac:dyDescent="0.15">
      <c r="C869" s="86"/>
      <c r="D869" s="86"/>
      <c r="E869" s="52" t="s">
        <v>459</v>
      </c>
      <c r="F869" s="75">
        <f t="shared" si="28"/>
        <v>3367000</v>
      </c>
      <c r="G869" s="92"/>
      <c r="H869" s="90">
        <v>-4000</v>
      </c>
      <c r="I869" s="93"/>
      <c r="J869" s="90">
        <v>3303000</v>
      </c>
      <c r="K869" s="93"/>
      <c r="L869" s="90">
        <v>68000</v>
      </c>
      <c r="M869" s="93"/>
      <c r="N869" s="90">
        <v>1258000</v>
      </c>
      <c r="O869" s="93"/>
      <c r="P869" s="90">
        <v>2127000</v>
      </c>
      <c r="Q869" s="93"/>
      <c r="R869" s="90">
        <v>18000</v>
      </c>
    </row>
    <row r="870" spans="2:18" x14ac:dyDescent="0.15">
      <c r="C870" s="86"/>
      <c r="D870" s="86"/>
      <c r="E870" s="52" t="s">
        <v>297</v>
      </c>
      <c r="F870" s="75">
        <f t="shared" si="28"/>
        <v>66800000</v>
      </c>
      <c r="G870" s="92"/>
      <c r="H870" s="90">
        <v>-44000</v>
      </c>
      <c r="I870" s="93"/>
      <c r="J870" s="90">
        <v>66825000</v>
      </c>
      <c r="K870" s="93"/>
      <c r="L870" s="90">
        <v>19000</v>
      </c>
      <c r="M870" s="93"/>
      <c r="N870" s="90">
        <v>43285000</v>
      </c>
      <c r="O870" s="93"/>
      <c r="P870" s="90">
        <v>23515000</v>
      </c>
      <c r="Q870" s="93"/>
      <c r="R870" s="90">
        <v>0</v>
      </c>
    </row>
    <row r="871" spans="2:18" x14ac:dyDescent="0.15">
      <c r="C871" s="86"/>
      <c r="D871" s="86"/>
      <c r="E871" s="52" t="s">
        <v>460</v>
      </c>
      <c r="F871" s="75">
        <f t="shared" si="28"/>
        <v>751000</v>
      </c>
      <c r="G871" s="92"/>
      <c r="H871" s="90">
        <v>342000</v>
      </c>
      <c r="I871" s="93"/>
      <c r="J871" s="90">
        <v>274000</v>
      </c>
      <c r="K871" s="93"/>
      <c r="L871" s="90">
        <v>135000</v>
      </c>
      <c r="M871" s="93"/>
      <c r="N871" s="90">
        <v>500000</v>
      </c>
      <c r="O871" s="93"/>
      <c r="P871" s="90">
        <v>251000</v>
      </c>
      <c r="Q871" s="93"/>
      <c r="R871" s="90">
        <v>0</v>
      </c>
    </row>
    <row r="872" spans="2:18" x14ac:dyDescent="0.15">
      <c r="C872" s="86"/>
      <c r="D872" s="86"/>
      <c r="E872" s="52" t="s">
        <v>461</v>
      </c>
      <c r="F872" s="75">
        <f t="shared" si="28"/>
        <v>1673000</v>
      </c>
      <c r="G872" s="92"/>
      <c r="H872" s="90">
        <v>376000</v>
      </c>
      <c r="I872" s="93"/>
      <c r="J872" s="90">
        <v>1253000</v>
      </c>
      <c r="K872" s="93"/>
      <c r="L872" s="90">
        <v>44000</v>
      </c>
      <c r="M872" s="93"/>
      <c r="N872" s="90">
        <v>1065000</v>
      </c>
      <c r="O872" s="93"/>
      <c r="P872" s="90">
        <v>608000</v>
      </c>
      <c r="Q872" s="93"/>
      <c r="R872" s="90">
        <v>0</v>
      </c>
    </row>
    <row r="873" spans="2:18" x14ac:dyDescent="0.15">
      <c r="C873" s="86"/>
      <c r="D873" s="86"/>
      <c r="E873" s="52" t="s">
        <v>234</v>
      </c>
      <c r="F873" s="94">
        <f>SUM(H873:L873)</f>
        <v>7011000</v>
      </c>
      <c r="G873" s="69"/>
      <c r="H873" s="95">
        <v>41276000</v>
      </c>
      <c r="I873" s="90"/>
      <c r="J873" s="95">
        <v>-45476000</v>
      </c>
      <c r="K873" s="90"/>
      <c r="L873" s="95">
        <v>11211000</v>
      </c>
      <c r="M873" s="90"/>
      <c r="N873" s="95">
        <v>11697000</v>
      </c>
      <c r="O873" s="90"/>
      <c r="P873" s="95">
        <v>-2470000</v>
      </c>
      <c r="Q873" s="90"/>
      <c r="R873" s="95">
        <v>2216000</v>
      </c>
    </row>
    <row r="874" spans="2:18" x14ac:dyDescent="0.15"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</row>
    <row r="875" spans="2:18" x14ac:dyDescent="0.15">
      <c r="E875" s="52" t="s">
        <v>60</v>
      </c>
      <c r="F875" s="94">
        <f>SUM(H875:L875)</f>
        <v>85711000</v>
      </c>
      <c r="G875" s="69"/>
      <c r="H875" s="94">
        <f>SUM(H867:H873)</f>
        <v>42948000</v>
      </c>
      <c r="I875" s="75"/>
      <c r="J875" s="94">
        <f>SUM(J867:J873)</f>
        <v>31138000</v>
      </c>
      <c r="K875" s="75"/>
      <c r="L875" s="94">
        <f>SUM(L867:L873)</f>
        <v>11625000</v>
      </c>
      <c r="M875" s="75"/>
      <c r="N875" s="94">
        <f>SUM(N867:N873)</f>
        <v>61688000</v>
      </c>
      <c r="O875" s="75"/>
      <c r="P875" s="94">
        <f>SUM(P867:P873)</f>
        <v>26273000</v>
      </c>
      <c r="Q875" s="75"/>
      <c r="R875" s="94">
        <f>SUM(R867:R873)</f>
        <v>2250000</v>
      </c>
    </row>
    <row r="876" spans="2:18" x14ac:dyDescent="0.15">
      <c r="C876" s="86"/>
      <c r="D876" s="52"/>
      <c r="E876" s="86"/>
      <c r="G876" s="69"/>
      <c r="H876" s="90"/>
      <c r="I876" s="90"/>
      <c r="J876" s="90"/>
      <c r="K876" s="90"/>
      <c r="L876" s="90"/>
      <c r="M876" s="90"/>
      <c r="N876" s="90"/>
      <c r="O876" s="90"/>
      <c r="P876" s="90"/>
      <c r="Q876" s="90"/>
      <c r="R876" s="90"/>
    </row>
    <row r="877" spans="2:18" x14ac:dyDescent="0.15">
      <c r="C877" s="52" t="s">
        <v>463</v>
      </c>
      <c r="D877" s="52"/>
      <c r="E877" s="91"/>
      <c r="F877" s="94">
        <f>SUM(H877:L877)</f>
        <v>144000</v>
      </c>
      <c r="G877" s="69"/>
      <c r="H877" s="95">
        <v>0</v>
      </c>
      <c r="I877" s="90"/>
      <c r="J877" s="95">
        <v>144000</v>
      </c>
      <c r="K877" s="90"/>
      <c r="L877" s="95">
        <v>0</v>
      </c>
      <c r="M877" s="90"/>
      <c r="N877" s="95">
        <v>553000</v>
      </c>
      <c r="O877" s="90"/>
      <c r="P877" s="95">
        <v>546000</v>
      </c>
      <c r="Q877" s="90"/>
      <c r="R877" s="95">
        <v>955000</v>
      </c>
    </row>
    <row r="878" spans="2:18" x14ac:dyDescent="0.15"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</row>
    <row r="879" spans="2:18" x14ac:dyDescent="0.15">
      <c r="C879" s="52" t="s">
        <v>464</v>
      </c>
      <c r="D879" s="52"/>
      <c r="E879" s="91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</row>
    <row r="880" spans="2:18" x14ac:dyDescent="0.15">
      <c r="E880" s="52" t="s">
        <v>465</v>
      </c>
      <c r="F880" s="75">
        <f>SUM(H880:L880)</f>
        <v>221000</v>
      </c>
      <c r="G880" s="92"/>
      <c r="H880" s="90">
        <v>0</v>
      </c>
      <c r="I880" s="93"/>
      <c r="J880" s="90">
        <v>221000</v>
      </c>
      <c r="K880" s="93"/>
      <c r="L880" s="90">
        <v>0</v>
      </c>
      <c r="M880" s="93"/>
      <c r="N880" s="90">
        <v>155000</v>
      </c>
      <c r="O880" s="93"/>
      <c r="P880" s="90">
        <v>1281000</v>
      </c>
      <c r="Q880" s="93"/>
      <c r="R880" s="90">
        <v>1215000</v>
      </c>
    </row>
    <row r="881" spans="1:18" x14ac:dyDescent="0.15">
      <c r="E881" s="52" t="s">
        <v>466</v>
      </c>
      <c r="F881" s="94">
        <f>SUM(H881:L881)</f>
        <v>4379000</v>
      </c>
      <c r="G881" s="69"/>
      <c r="H881" s="95">
        <v>0</v>
      </c>
      <c r="I881" s="90"/>
      <c r="J881" s="95">
        <v>4379000</v>
      </c>
      <c r="K881" s="90"/>
      <c r="L881" s="95">
        <v>0</v>
      </c>
      <c r="M881" s="90"/>
      <c r="N881" s="95">
        <v>1386000</v>
      </c>
      <c r="O881" s="90"/>
      <c r="P881" s="95">
        <v>3013000</v>
      </c>
      <c r="Q881" s="90"/>
      <c r="R881" s="95">
        <v>20000</v>
      </c>
    </row>
    <row r="882" spans="1:18" x14ac:dyDescent="0.15">
      <c r="G882" s="69"/>
      <c r="H882" s="90"/>
      <c r="I882" s="90"/>
      <c r="J882" s="90"/>
      <c r="K882" s="90"/>
      <c r="L882" s="90"/>
      <c r="M882" s="90"/>
      <c r="N882" s="90"/>
      <c r="O882" s="90"/>
      <c r="P882" s="90"/>
      <c r="Q882" s="90"/>
      <c r="R882" s="90"/>
    </row>
    <row r="883" spans="1:18" x14ac:dyDescent="0.15">
      <c r="E883" s="52" t="s">
        <v>3</v>
      </c>
      <c r="F883" s="94">
        <f>SUM(H883:L883)</f>
        <v>4600000</v>
      </c>
      <c r="G883" s="69"/>
      <c r="H883" s="94">
        <f>SUM(H880:H882)</f>
        <v>0</v>
      </c>
      <c r="I883" s="75"/>
      <c r="J883" s="94">
        <f>SUM(J880:J882)</f>
        <v>4600000</v>
      </c>
      <c r="K883" s="75"/>
      <c r="L883" s="94">
        <f>SUM(L880:L882)</f>
        <v>0</v>
      </c>
      <c r="M883" s="75"/>
      <c r="N883" s="94">
        <f>SUM(N880:N882)</f>
        <v>1541000</v>
      </c>
      <c r="O883" s="75"/>
      <c r="P883" s="94">
        <f>SUM(P880:P882)</f>
        <v>4294000</v>
      </c>
      <c r="Q883" s="75"/>
      <c r="R883" s="94">
        <f>SUM(R880:R882)</f>
        <v>1235000</v>
      </c>
    </row>
    <row r="884" spans="1:18" x14ac:dyDescent="0.15">
      <c r="C884" s="86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</row>
    <row r="885" spans="1:18" x14ac:dyDescent="0.15">
      <c r="C885" s="53" t="s">
        <v>467</v>
      </c>
      <c r="F885" s="94">
        <f>SUM(H885:L885)</f>
        <v>502000</v>
      </c>
      <c r="G885" s="69"/>
      <c r="H885" s="95">
        <v>396000</v>
      </c>
      <c r="I885" s="90"/>
      <c r="J885" s="95">
        <v>106000</v>
      </c>
      <c r="K885" s="90"/>
      <c r="L885" s="95">
        <v>0</v>
      </c>
      <c r="M885" s="90"/>
      <c r="N885" s="95">
        <v>453000</v>
      </c>
      <c r="O885" s="90"/>
      <c r="P885" s="95">
        <v>1073000</v>
      </c>
      <c r="Q885" s="90"/>
      <c r="R885" s="95">
        <v>1024000</v>
      </c>
    </row>
    <row r="886" spans="1:18" x14ac:dyDescent="0.15">
      <c r="C886" s="86"/>
      <c r="G886" s="69"/>
      <c r="H886" s="90"/>
      <c r="I886" s="90"/>
      <c r="J886" s="90"/>
      <c r="K886" s="90"/>
      <c r="L886" s="90"/>
      <c r="M886" s="90"/>
      <c r="N886" s="90"/>
      <c r="O886" s="90"/>
      <c r="P886" s="90"/>
      <c r="Q886" s="90"/>
      <c r="R886" s="90"/>
    </row>
    <row r="887" spans="1:18" x14ac:dyDescent="0.15">
      <c r="C887" s="53" t="s">
        <v>468</v>
      </c>
      <c r="D887" s="52"/>
      <c r="E887" s="91"/>
      <c r="G887" s="69"/>
      <c r="H887" s="90"/>
      <c r="I887" s="90"/>
      <c r="J887" s="90"/>
      <c r="K887" s="90"/>
      <c r="L887" s="90"/>
      <c r="M887" s="90"/>
      <c r="N887" s="90"/>
      <c r="O887" s="90"/>
      <c r="P887" s="90"/>
      <c r="Q887" s="90"/>
      <c r="R887" s="90"/>
    </row>
    <row r="888" spans="1:18" x14ac:dyDescent="0.15">
      <c r="E888" s="52" t="s">
        <v>469</v>
      </c>
      <c r="F888" s="75">
        <f>SUM(H888:L888)</f>
        <v>4028000</v>
      </c>
      <c r="G888" s="92"/>
      <c r="H888" s="90">
        <v>2000</v>
      </c>
      <c r="I888" s="93"/>
      <c r="J888" s="90">
        <v>4026000</v>
      </c>
      <c r="K888" s="93"/>
      <c r="L888" s="90">
        <v>0</v>
      </c>
      <c r="M888" s="93"/>
      <c r="N888" s="90">
        <v>1673000</v>
      </c>
      <c r="O888" s="93"/>
      <c r="P888" s="90">
        <v>2355000</v>
      </c>
      <c r="Q888" s="93"/>
      <c r="R888" s="90">
        <v>0</v>
      </c>
    </row>
    <row r="889" spans="1:18" x14ac:dyDescent="0.15">
      <c r="E889" s="52" t="s">
        <v>470</v>
      </c>
      <c r="F889" s="75">
        <f>SUM(H889:L889)</f>
        <v>1256000</v>
      </c>
      <c r="G889" s="92"/>
      <c r="H889" s="90">
        <v>364000</v>
      </c>
      <c r="I889" s="93"/>
      <c r="J889" s="90">
        <v>892000</v>
      </c>
      <c r="K889" s="93"/>
      <c r="L889" s="90">
        <v>0</v>
      </c>
      <c r="M889" s="93"/>
      <c r="N889" s="90">
        <v>801000</v>
      </c>
      <c r="O889" s="93"/>
      <c r="P889" s="90">
        <v>473000</v>
      </c>
      <c r="Q889" s="93"/>
      <c r="R889" s="90">
        <v>18000</v>
      </c>
    </row>
    <row r="890" spans="1:18" x14ac:dyDescent="0.15">
      <c r="E890" s="52" t="s">
        <v>471</v>
      </c>
      <c r="F890" s="75">
        <f>SUM(H890:L890)</f>
        <v>1204000</v>
      </c>
      <c r="G890" s="92"/>
      <c r="H890" s="90">
        <v>478000</v>
      </c>
      <c r="I890" s="93"/>
      <c r="J890" s="90">
        <v>726000</v>
      </c>
      <c r="K890" s="93"/>
      <c r="L890" s="90">
        <v>0</v>
      </c>
      <c r="M890" s="93"/>
      <c r="N890" s="90">
        <v>840000</v>
      </c>
      <c r="O890" s="93"/>
      <c r="P890" s="90">
        <v>2359000</v>
      </c>
      <c r="Q890" s="93"/>
      <c r="R890" s="90">
        <v>1995000</v>
      </c>
    </row>
    <row r="891" spans="1:18" x14ac:dyDescent="0.15">
      <c r="E891" s="52" t="s">
        <v>472</v>
      </c>
      <c r="F891" s="94">
        <f>SUM(H891:L891)</f>
        <v>1404000</v>
      </c>
      <c r="G891" s="69"/>
      <c r="H891" s="95">
        <v>0</v>
      </c>
      <c r="I891" s="90"/>
      <c r="J891" s="95">
        <v>1404000</v>
      </c>
      <c r="K891" s="90"/>
      <c r="L891" s="95">
        <v>0</v>
      </c>
      <c r="M891" s="90"/>
      <c r="N891" s="95">
        <v>661000</v>
      </c>
      <c r="O891" s="90"/>
      <c r="P891" s="95">
        <v>743000</v>
      </c>
      <c r="Q891" s="90"/>
      <c r="R891" s="95">
        <v>0</v>
      </c>
    </row>
    <row r="892" spans="1:18" x14ac:dyDescent="0.15">
      <c r="B892" s="88"/>
      <c r="C892" s="88"/>
      <c r="D892" s="88"/>
      <c r="E892" s="88"/>
      <c r="G892" s="98"/>
      <c r="H892" s="98"/>
      <c r="I892" s="98"/>
      <c r="J892" s="98"/>
      <c r="K892" s="98"/>
      <c r="L892" s="98"/>
      <c r="M892" s="98"/>
      <c r="N892" s="98"/>
      <c r="O892" s="98"/>
      <c r="P892" s="98"/>
      <c r="Q892" s="98"/>
      <c r="R892" s="98"/>
    </row>
    <row r="893" spans="1:18" x14ac:dyDescent="0.15">
      <c r="E893" s="52" t="s">
        <v>3</v>
      </c>
      <c r="F893" s="94">
        <f>SUM(H893:L893)</f>
        <v>7892000</v>
      </c>
      <c r="G893" s="69"/>
      <c r="H893" s="94">
        <f>SUM(H888:H892)</f>
        <v>844000</v>
      </c>
      <c r="I893" s="75"/>
      <c r="J893" s="94">
        <f>SUM(J888:J892)</f>
        <v>7048000</v>
      </c>
      <c r="K893" s="75"/>
      <c r="L893" s="94">
        <f>SUM(L888:L892)</f>
        <v>0</v>
      </c>
      <c r="M893" s="75"/>
      <c r="N893" s="94">
        <f>SUM(N888:N892)</f>
        <v>3975000</v>
      </c>
      <c r="O893" s="75"/>
      <c r="P893" s="94">
        <f>SUM(P888:P892)</f>
        <v>5930000</v>
      </c>
      <c r="Q893" s="75"/>
      <c r="R893" s="94">
        <f>SUM(R888:R892)</f>
        <v>2013000</v>
      </c>
    </row>
    <row r="894" spans="1:18" x14ac:dyDescent="0.15">
      <c r="A894" s="88"/>
      <c r="B894" s="88"/>
      <c r="C894" s="88"/>
      <c r="D894" s="88"/>
      <c r="E894" s="88"/>
      <c r="G894" s="98"/>
      <c r="H894" s="98"/>
      <c r="I894" s="98"/>
      <c r="J894" s="98"/>
      <c r="K894" s="98"/>
      <c r="L894" s="98"/>
      <c r="M894" s="98"/>
      <c r="N894" s="98"/>
      <c r="O894" s="98"/>
      <c r="P894" s="98"/>
      <c r="Q894" s="98"/>
      <c r="R894" s="98"/>
    </row>
    <row r="895" spans="1:18" x14ac:dyDescent="0.15">
      <c r="C895" s="52" t="s">
        <v>473</v>
      </c>
      <c r="D895" s="52"/>
      <c r="E895" s="91"/>
      <c r="F895" s="94">
        <f>SUM(H895:L895)</f>
        <v>15823000</v>
      </c>
      <c r="G895" s="69"/>
      <c r="H895" s="95">
        <v>10741000</v>
      </c>
      <c r="I895" s="90"/>
      <c r="J895" s="95">
        <v>5073000</v>
      </c>
      <c r="K895" s="90"/>
      <c r="L895" s="95">
        <v>9000</v>
      </c>
      <c r="M895" s="90"/>
      <c r="N895" s="95">
        <v>13815000</v>
      </c>
      <c r="O895" s="90"/>
      <c r="P895" s="95">
        <v>8923000</v>
      </c>
      <c r="Q895" s="90"/>
      <c r="R895" s="95">
        <v>6915000</v>
      </c>
    </row>
    <row r="896" spans="1:18" x14ac:dyDescent="0.15">
      <c r="C896" s="86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</row>
    <row r="897" spans="1:19" x14ac:dyDescent="0.15">
      <c r="C897" s="53" t="s">
        <v>474</v>
      </c>
      <c r="D897" s="52"/>
      <c r="E897" s="91"/>
      <c r="F897" s="94">
        <f>SUM(H897:L897)</f>
        <v>190000</v>
      </c>
      <c r="G897" s="69"/>
      <c r="H897" s="95">
        <v>0</v>
      </c>
      <c r="I897" s="90"/>
      <c r="J897" s="95">
        <v>190000</v>
      </c>
      <c r="K897" s="90"/>
      <c r="L897" s="95">
        <v>0</v>
      </c>
      <c r="M897" s="90"/>
      <c r="N897" s="95">
        <v>1945000</v>
      </c>
      <c r="O897" s="90"/>
      <c r="P897" s="95">
        <v>6932000</v>
      </c>
      <c r="Q897" s="90"/>
      <c r="R897" s="95">
        <v>8687000</v>
      </c>
    </row>
    <row r="898" spans="1:19" x14ac:dyDescent="0.15"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</row>
    <row r="899" spans="1:19" x14ac:dyDescent="0.15">
      <c r="C899" s="88" t="s">
        <v>475</v>
      </c>
      <c r="D899" s="52"/>
      <c r="E899" s="91"/>
      <c r="F899" s="94">
        <f>SUM(H899:L899)</f>
        <v>39216000</v>
      </c>
      <c r="G899" s="69"/>
      <c r="H899" s="95">
        <v>60000</v>
      </c>
      <c r="I899" s="90"/>
      <c r="J899" s="95">
        <v>38529000</v>
      </c>
      <c r="K899" s="90"/>
      <c r="L899" s="95">
        <v>627000</v>
      </c>
      <c r="M899" s="90"/>
      <c r="N899" s="95">
        <v>20766000</v>
      </c>
      <c r="O899" s="90"/>
      <c r="P899" s="95">
        <v>18450000</v>
      </c>
      <c r="Q899" s="90"/>
      <c r="R899" s="95">
        <v>0</v>
      </c>
    </row>
    <row r="900" spans="1:19" x14ac:dyDescent="0.15">
      <c r="C900" s="88"/>
      <c r="D900" s="52"/>
      <c r="E900" s="91"/>
      <c r="F900" s="65"/>
      <c r="G900" s="66"/>
      <c r="H900" s="65"/>
      <c r="I900" s="100"/>
      <c r="J900" s="100"/>
      <c r="K900" s="100"/>
      <c r="L900" s="100"/>
      <c r="M900" s="100"/>
      <c r="N900" s="100"/>
      <c r="O900" s="100"/>
      <c r="P900" s="100"/>
      <c r="Q900" s="100"/>
      <c r="R900" s="100"/>
    </row>
    <row r="901" spans="1:19" x14ac:dyDescent="0.15">
      <c r="C901" s="52" t="s">
        <v>476</v>
      </c>
      <c r="D901" s="52"/>
      <c r="E901" s="91"/>
      <c r="G901" s="69"/>
      <c r="H901" s="75"/>
      <c r="I901" s="75"/>
      <c r="J901" s="75"/>
      <c r="K901" s="75"/>
      <c r="L901" s="75"/>
      <c r="M901" s="75"/>
      <c r="N901" s="75"/>
      <c r="O901" s="75"/>
      <c r="P901" s="75"/>
      <c r="Q901" s="75"/>
      <c r="R901" s="75"/>
      <c r="S901" s="75"/>
    </row>
    <row r="902" spans="1:19" x14ac:dyDescent="0.15">
      <c r="C902" s="52"/>
      <c r="D902" s="52"/>
      <c r="E902" s="91" t="s">
        <v>477</v>
      </c>
      <c r="F902" s="75">
        <f>SUM(H902:L902)</f>
        <v>2537000</v>
      </c>
      <c r="G902" s="92"/>
      <c r="H902" s="90">
        <v>601000</v>
      </c>
      <c r="I902" s="93"/>
      <c r="J902" s="90">
        <v>1936000</v>
      </c>
      <c r="K902" s="93"/>
      <c r="L902" s="90">
        <v>0</v>
      </c>
      <c r="M902" s="93"/>
      <c r="N902" s="90">
        <v>1189000</v>
      </c>
      <c r="O902" s="93"/>
      <c r="P902" s="90">
        <v>1348000</v>
      </c>
      <c r="Q902" s="93"/>
      <c r="R902" s="90">
        <v>0</v>
      </c>
    </row>
    <row r="903" spans="1:19" x14ac:dyDescent="0.15">
      <c r="E903" s="52" t="s">
        <v>478</v>
      </c>
      <c r="F903" s="75">
        <f>SUM(H903:L903)</f>
        <v>1315000</v>
      </c>
      <c r="G903" s="92"/>
      <c r="H903" s="90">
        <v>-183000</v>
      </c>
      <c r="I903" s="93"/>
      <c r="J903" s="90">
        <v>1498000</v>
      </c>
      <c r="K903" s="93"/>
      <c r="L903" s="90">
        <v>0</v>
      </c>
      <c r="M903" s="93"/>
      <c r="N903" s="90">
        <v>854000</v>
      </c>
      <c r="O903" s="93"/>
      <c r="P903" s="90">
        <v>461000</v>
      </c>
      <c r="Q903" s="93"/>
      <c r="R903" s="90">
        <v>0</v>
      </c>
    </row>
    <row r="904" spans="1:19" x14ac:dyDescent="0.15">
      <c r="E904" s="52" t="s">
        <v>479</v>
      </c>
      <c r="F904" s="75">
        <f>SUM(H904:L904)</f>
        <v>3868000</v>
      </c>
      <c r="G904" s="92"/>
      <c r="H904" s="90">
        <v>-355000</v>
      </c>
      <c r="I904" s="93"/>
      <c r="J904" s="90">
        <v>3827000</v>
      </c>
      <c r="K904" s="93"/>
      <c r="L904" s="90">
        <v>396000</v>
      </c>
      <c r="M904" s="93"/>
      <c r="N904" s="90">
        <v>1450000</v>
      </c>
      <c r="O904" s="93"/>
      <c r="P904" s="90">
        <v>2418000</v>
      </c>
      <c r="Q904" s="93"/>
      <c r="R904" s="90">
        <v>0</v>
      </c>
    </row>
    <row r="905" spans="1:19" x14ac:dyDescent="0.15">
      <c r="C905" s="52"/>
      <c r="D905" s="52"/>
      <c r="E905" s="52" t="s">
        <v>480</v>
      </c>
      <c r="F905" s="94">
        <f>SUM(H905:L905)</f>
        <v>1477000</v>
      </c>
      <c r="G905" s="69"/>
      <c r="H905" s="95">
        <v>-308000</v>
      </c>
      <c r="I905" s="90"/>
      <c r="J905" s="95">
        <v>1785000</v>
      </c>
      <c r="K905" s="90"/>
      <c r="L905" s="95">
        <v>0</v>
      </c>
      <c r="M905" s="90"/>
      <c r="N905" s="95">
        <v>983000</v>
      </c>
      <c r="O905" s="90"/>
      <c r="P905" s="95">
        <v>494000</v>
      </c>
      <c r="Q905" s="90"/>
      <c r="R905" s="95">
        <v>0</v>
      </c>
    </row>
    <row r="906" spans="1:19" x14ac:dyDescent="0.15">
      <c r="E906" s="52" t="s">
        <v>272</v>
      </c>
      <c r="G906" s="69"/>
      <c r="H906" s="75"/>
      <c r="I906" s="75"/>
      <c r="J906" s="75"/>
      <c r="K906" s="75"/>
      <c r="L906" s="75"/>
      <c r="M906" s="75"/>
      <c r="N906" s="75"/>
      <c r="O906" s="75"/>
      <c r="P906" s="75"/>
      <c r="Q906" s="75"/>
      <c r="R906" s="75"/>
      <c r="S906" s="75"/>
    </row>
    <row r="907" spans="1:19" x14ac:dyDescent="0.15">
      <c r="E907" s="52" t="s">
        <v>3</v>
      </c>
      <c r="F907" s="94">
        <f>SUM(H907:L907)</f>
        <v>9197000</v>
      </c>
      <c r="G907" s="69"/>
      <c r="H907" s="94">
        <f>SUM(H902:H906)</f>
        <v>-245000</v>
      </c>
      <c r="I907" s="75"/>
      <c r="J907" s="94">
        <f>SUM(J902:J906)</f>
        <v>9046000</v>
      </c>
      <c r="K907" s="75"/>
      <c r="L907" s="94">
        <f>SUM(L902:L906)</f>
        <v>396000</v>
      </c>
      <c r="M907" s="94"/>
      <c r="N907" s="94">
        <f>SUM(N902:N906)</f>
        <v>4476000</v>
      </c>
      <c r="O907" s="75"/>
      <c r="P907" s="94">
        <f>SUM(P902:P906)</f>
        <v>4721000</v>
      </c>
      <c r="Q907" s="75"/>
      <c r="R907" s="94">
        <f>SUM(R902:R906)</f>
        <v>0</v>
      </c>
      <c r="S907" s="75"/>
    </row>
    <row r="908" spans="1:19" x14ac:dyDescent="0.15">
      <c r="G908" s="69"/>
      <c r="H908" s="75"/>
      <c r="I908" s="75"/>
      <c r="J908" s="75"/>
      <c r="K908" s="75"/>
      <c r="L908" s="75"/>
      <c r="M908" s="75"/>
      <c r="N908" s="75"/>
      <c r="O908" s="75"/>
      <c r="P908" s="75"/>
      <c r="Q908" s="75"/>
      <c r="R908" s="75"/>
      <c r="S908" s="75"/>
    </row>
    <row r="909" spans="1:19" x14ac:dyDescent="0.15">
      <c r="A909" s="88"/>
      <c r="B909" s="53" t="s">
        <v>399</v>
      </c>
      <c r="C909" s="88"/>
      <c r="D909" s="88"/>
      <c r="E909" s="88"/>
      <c r="G909" s="69"/>
      <c r="H909" s="90"/>
      <c r="I909" s="90"/>
      <c r="J909" s="90"/>
      <c r="K909" s="90"/>
      <c r="L909" s="90"/>
      <c r="M909" s="90"/>
      <c r="N909" s="90"/>
      <c r="O909" s="90"/>
      <c r="P909" s="90"/>
      <c r="Q909" s="90"/>
      <c r="R909" s="90"/>
    </row>
    <row r="910" spans="1:19" x14ac:dyDescent="0.15">
      <c r="B910" s="78"/>
      <c r="C910" s="53" t="s">
        <v>400</v>
      </c>
      <c r="F910" s="94">
        <f>SUM(H910:L910)</f>
        <v>-656000</v>
      </c>
      <c r="G910" s="69"/>
      <c r="H910" s="95">
        <v>-1480000</v>
      </c>
      <c r="I910" s="90"/>
      <c r="J910" s="95">
        <v>831000</v>
      </c>
      <c r="K910" s="90"/>
      <c r="L910" s="95">
        <v>-7000</v>
      </c>
      <c r="M910" s="90"/>
      <c r="N910" s="95">
        <v>-747000</v>
      </c>
      <c r="O910" s="90"/>
      <c r="P910" s="95">
        <v>91000</v>
      </c>
      <c r="Q910" s="90"/>
      <c r="R910" s="95">
        <v>0</v>
      </c>
    </row>
    <row r="911" spans="1:19" x14ac:dyDescent="0.15">
      <c r="B911" s="78"/>
      <c r="G911" s="69"/>
      <c r="H911" s="90"/>
      <c r="I911" s="90"/>
      <c r="J911" s="90"/>
      <c r="K911" s="90"/>
      <c r="L911" s="90"/>
      <c r="M911" s="90"/>
      <c r="N911" s="90"/>
      <c r="O911" s="90"/>
      <c r="P911" s="90"/>
      <c r="Q911" s="90"/>
      <c r="R911" s="90"/>
    </row>
    <row r="912" spans="1:19" x14ac:dyDescent="0.15">
      <c r="E912" s="52" t="s">
        <v>481</v>
      </c>
      <c r="F912" s="94">
        <f>SUM(H912:L912)</f>
        <v>269788000</v>
      </c>
      <c r="G912" s="69"/>
      <c r="H912" s="94">
        <f>+H818+H820+H827+H835+H837+H839+H842+H844+H854+H857+H863+H875+H877+H883+H885+H893+H895+H897+H899+H907+H910</f>
        <v>116412000</v>
      </c>
      <c r="I912" s="75"/>
      <c r="J912" s="94">
        <f>+J818+J820+J827+J835+J837+J839+J842+J844+J854+J857+J863+J875+J877+J883+J885+J893+J895+J897+J899+J907+J910</f>
        <v>140084000</v>
      </c>
      <c r="K912" s="75"/>
      <c r="L912" s="94">
        <f>+L818+L820+L827+L835+L837+L839+L842+L844+L854+L857+L863+L875+L877+L883+L885+L893+L895+L897+L899+L907+L910</f>
        <v>13292000</v>
      </c>
      <c r="M912" s="75"/>
      <c r="N912" s="94">
        <f>+N818+N820+N827+N835+N837+N839+N842+N844+N854+N857+N863+N875+N877+N883+N885+N893+N895+N897+N899+N907+N910</f>
        <v>171872000</v>
      </c>
      <c r="O912" s="75"/>
      <c r="P912" s="94">
        <f>+P818+P820+P827+P835+P837+P839+P842+P844+P854+P857+P863+P875+P877+P883+P885+P893+P895+P897+P899+P907+P910</f>
        <v>125902000</v>
      </c>
      <c r="Q912" s="75"/>
      <c r="R912" s="94">
        <f>+R818+R820+R827+R835+R837+R839+R842+R844+R854+R857+R863+R875+R877+R883+R885+R893+R895+R897+R899+R907+R910</f>
        <v>27986000</v>
      </c>
    </row>
    <row r="913" spans="1:18" x14ac:dyDescent="0.15">
      <c r="G913" s="69"/>
      <c r="H913" s="75"/>
      <c r="I913" s="75"/>
      <c r="J913" s="75"/>
      <c r="K913" s="75"/>
      <c r="L913" s="75"/>
      <c r="M913" s="75"/>
      <c r="N913" s="75"/>
      <c r="O913" s="75"/>
      <c r="P913" s="75"/>
      <c r="Q913" s="75"/>
      <c r="R913" s="75"/>
    </row>
    <row r="914" spans="1:18" x14ac:dyDescent="0.15">
      <c r="A914" s="79" t="s">
        <v>482</v>
      </c>
      <c r="B914" s="88"/>
      <c r="C914" s="88"/>
      <c r="D914" s="88"/>
      <c r="E914" s="88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</row>
    <row r="915" spans="1:18" x14ac:dyDescent="0.15">
      <c r="A915" s="78"/>
      <c r="B915" s="79" t="s">
        <v>483</v>
      </c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</row>
    <row r="916" spans="1:18" x14ac:dyDescent="0.15"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</row>
    <row r="917" spans="1:18" x14ac:dyDescent="0.15">
      <c r="C917" s="52" t="s">
        <v>484</v>
      </c>
      <c r="D917" s="52"/>
      <c r="E917" s="91"/>
      <c r="F917" s="75">
        <f>SUM(H917:L917)</f>
        <v>6721000</v>
      </c>
      <c r="G917" s="92"/>
      <c r="H917" s="90">
        <v>6400000</v>
      </c>
      <c r="I917" s="93"/>
      <c r="J917" s="90">
        <v>54000</v>
      </c>
      <c r="K917" s="93"/>
      <c r="L917" s="90">
        <v>267000</v>
      </c>
      <c r="M917" s="93"/>
      <c r="N917" s="90">
        <v>9064000</v>
      </c>
      <c r="O917" s="93"/>
      <c r="P917" s="90">
        <v>8377000</v>
      </c>
      <c r="Q917" s="93"/>
      <c r="R917" s="90">
        <v>10720000</v>
      </c>
    </row>
    <row r="918" spans="1:18" x14ac:dyDescent="0.15">
      <c r="C918" s="86"/>
      <c r="D918" s="52"/>
      <c r="E918" s="91" t="s">
        <v>485</v>
      </c>
      <c r="F918" s="75">
        <f t="shared" ref="F918:F926" si="29">SUM(H918:L918)</f>
        <v>861000</v>
      </c>
      <c r="G918" s="92"/>
      <c r="H918" s="90">
        <v>404000</v>
      </c>
      <c r="I918" s="93"/>
      <c r="J918" s="90">
        <v>457000</v>
      </c>
      <c r="K918" s="93"/>
      <c r="L918" s="90">
        <v>0</v>
      </c>
      <c r="M918" s="93"/>
      <c r="N918" s="90">
        <v>205000</v>
      </c>
      <c r="O918" s="93"/>
      <c r="P918" s="90">
        <v>656000</v>
      </c>
      <c r="Q918" s="93"/>
      <c r="R918" s="90">
        <v>0</v>
      </c>
    </row>
    <row r="919" spans="1:18" x14ac:dyDescent="0.15">
      <c r="C919" s="86"/>
      <c r="D919" s="52"/>
      <c r="E919" s="91" t="s">
        <v>486</v>
      </c>
      <c r="F919" s="75">
        <f t="shared" si="29"/>
        <v>15385000</v>
      </c>
      <c r="G919" s="92"/>
      <c r="H919" s="90">
        <v>13902000</v>
      </c>
      <c r="I919" s="93"/>
      <c r="J919" s="90">
        <v>1483000</v>
      </c>
      <c r="K919" s="93"/>
      <c r="L919" s="90">
        <v>0</v>
      </c>
      <c r="M919" s="93"/>
      <c r="N919" s="90">
        <v>9434000</v>
      </c>
      <c r="O919" s="93"/>
      <c r="P919" s="90">
        <v>10193000</v>
      </c>
      <c r="Q919" s="93"/>
      <c r="R919" s="90">
        <v>4242000</v>
      </c>
    </row>
    <row r="920" spans="1:18" x14ac:dyDescent="0.15">
      <c r="C920" s="86"/>
      <c r="D920" s="52"/>
      <c r="E920" s="91" t="s">
        <v>487</v>
      </c>
      <c r="F920" s="75">
        <f t="shared" si="29"/>
        <v>757000</v>
      </c>
      <c r="G920" s="92"/>
      <c r="H920" s="90">
        <v>754000</v>
      </c>
      <c r="I920" s="93"/>
      <c r="J920" s="90">
        <v>3000</v>
      </c>
      <c r="K920" s="93"/>
      <c r="L920" s="90">
        <v>0</v>
      </c>
      <c r="M920" s="93"/>
      <c r="N920" s="90">
        <v>342000</v>
      </c>
      <c r="O920" s="93"/>
      <c r="P920" s="90">
        <v>415000</v>
      </c>
      <c r="Q920" s="93"/>
      <c r="R920" s="90">
        <v>0</v>
      </c>
    </row>
    <row r="921" spans="1:18" ht="16.5" customHeight="1" x14ac:dyDescent="0.15">
      <c r="C921" s="52" t="s">
        <v>488</v>
      </c>
      <c r="D921" s="52"/>
      <c r="E921" s="91"/>
      <c r="F921" s="75">
        <f t="shared" si="29"/>
        <v>2731000</v>
      </c>
      <c r="G921" s="92"/>
      <c r="H921" s="90">
        <v>2354000</v>
      </c>
      <c r="I921" s="93"/>
      <c r="J921" s="90">
        <v>376000</v>
      </c>
      <c r="K921" s="93"/>
      <c r="L921" s="90">
        <v>1000</v>
      </c>
      <c r="M921" s="93"/>
      <c r="N921" s="90">
        <v>1833000</v>
      </c>
      <c r="O921" s="93"/>
      <c r="P921" s="90">
        <v>1492000</v>
      </c>
      <c r="Q921" s="93"/>
      <c r="R921" s="90">
        <v>594000</v>
      </c>
    </row>
    <row r="922" spans="1:18" ht="16.5" customHeight="1" x14ac:dyDescent="0.15">
      <c r="C922" s="52" t="s">
        <v>489</v>
      </c>
      <c r="D922" s="52"/>
      <c r="E922" s="91"/>
      <c r="F922" s="75">
        <f t="shared" si="29"/>
        <v>15236000</v>
      </c>
      <c r="G922" s="92"/>
      <c r="H922" s="90">
        <v>13429000</v>
      </c>
      <c r="I922" s="93"/>
      <c r="J922" s="90">
        <v>1807000</v>
      </c>
      <c r="K922" s="93"/>
      <c r="L922" s="90">
        <v>0</v>
      </c>
      <c r="M922" s="93"/>
      <c r="N922" s="90">
        <v>9546000</v>
      </c>
      <c r="O922" s="93"/>
      <c r="P922" s="90">
        <v>8975000</v>
      </c>
      <c r="Q922" s="93"/>
      <c r="R922" s="90">
        <v>3285000</v>
      </c>
    </row>
    <row r="923" spans="1:18" ht="16.5" customHeight="1" x14ac:dyDescent="0.15">
      <c r="C923" s="52" t="s">
        <v>234</v>
      </c>
      <c r="D923" s="52"/>
      <c r="E923" s="91"/>
      <c r="F923" s="75">
        <f t="shared" si="29"/>
        <v>5720000</v>
      </c>
      <c r="G923" s="92"/>
      <c r="H923" s="90">
        <v>-769000</v>
      </c>
      <c r="I923" s="93"/>
      <c r="J923" s="90">
        <v>6484000</v>
      </c>
      <c r="K923" s="93"/>
      <c r="L923" s="90">
        <v>5000</v>
      </c>
      <c r="M923" s="93"/>
      <c r="N923" s="90">
        <v>359000</v>
      </c>
      <c r="O923" s="93"/>
      <c r="P923" s="90">
        <v>5361000</v>
      </c>
      <c r="Q923" s="93"/>
      <c r="R923" s="90">
        <v>0</v>
      </c>
    </row>
    <row r="924" spans="1:18" ht="16.5" customHeight="1" x14ac:dyDescent="0.15">
      <c r="C924" s="52" t="s">
        <v>490</v>
      </c>
      <c r="D924" s="52"/>
      <c r="E924" s="91"/>
      <c r="F924" s="75">
        <f t="shared" si="29"/>
        <v>-17000</v>
      </c>
      <c r="G924" s="92"/>
      <c r="H924" s="90">
        <v>0</v>
      </c>
      <c r="I924" s="93"/>
      <c r="J924" s="90">
        <v>-17000</v>
      </c>
      <c r="K924" s="93"/>
      <c r="L924" s="90">
        <v>0</v>
      </c>
      <c r="M924" s="93"/>
      <c r="N924" s="90">
        <v>51000</v>
      </c>
      <c r="O924" s="93"/>
      <c r="P924" s="90">
        <v>153000</v>
      </c>
      <c r="Q924" s="93"/>
      <c r="R924" s="90">
        <v>221000</v>
      </c>
    </row>
    <row r="925" spans="1:18" ht="16.5" customHeight="1" x14ac:dyDescent="0.15">
      <c r="C925" s="52" t="s">
        <v>491</v>
      </c>
      <c r="D925" s="52"/>
      <c r="E925" s="91"/>
      <c r="F925" s="75">
        <f t="shared" si="29"/>
        <v>5112000</v>
      </c>
      <c r="G925" s="92"/>
      <c r="H925" s="90">
        <v>637000</v>
      </c>
      <c r="I925" s="93"/>
      <c r="J925" s="90">
        <v>4471000</v>
      </c>
      <c r="K925" s="93"/>
      <c r="L925" s="90">
        <v>4000</v>
      </c>
      <c r="M925" s="93"/>
      <c r="N925" s="90">
        <v>3245000</v>
      </c>
      <c r="O925" s="93"/>
      <c r="P925" s="90">
        <v>2729000</v>
      </c>
      <c r="Q925" s="93"/>
      <c r="R925" s="90">
        <v>862000</v>
      </c>
    </row>
    <row r="926" spans="1:18" ht="16.5" customHeight="1" x14ac:dyDescent="0.15">
      <c r="C926" s="52" t="s">
        <v>492</v>
      </c>
      <c r="D926" s="52"/>
      <c r="E926" s="91"/>
      <c r="F926" s="75">
        <f t="shared" si="29"/>
        <v>30083000</v>
      </c>
      <c r="G926" s="92"/>
      <c r="H926" s="90">
        <v>29956000</v>
      </c>
      <c r="I926" s="93"/>
      <c r="J926" s="90">
        <v>127000</v>
      </c>
      <c r="K926" s="93"/>
      <c r="L926" s="90">
        <v>0</v>
      </c>
      <c r="M926" s="93"/>
      <c r="N926" s="90">
        <v>2494000</v>
      </c>
      <c r="O926" s="93"/>
      <c r="P926" s="90">
        <v>28635000</v>
      </c>
      <c r="Q926" s="93"/>
      <c r="R926" s="90">
        <v>1046000</v>
      </c>
    </row>
    <row r="927" spans="1:18" x14ac:dyDescent="0.15">
      <c r="C927" s="52" t="s">
        <v>493</v>
      </c>
      <c r="D927" s="52"/>
      <c r="E927" s="91"/>
      <c r="F927" s="94">
        <f>SUM(H927:L927)</f>
        <v>131000</v>
      </c>
      <c r="G927" s="69"/>
      <c r="H927" s="95">
        <v>114000</v>
      </c>
      <c r="I927" s="90"/>
      <c r="J927" s="95">
        <v>20000</v>
      </c>
      <c r="K927" s="90"/>
      <c r="L927" s="95">
        <v>-3000</v>
      </c>
      <c r="M927" s="90"/>
      <c r="N927" s="95">
        <v>96000</v>
      </c>
      <c r="O927" s="90"/>
      <c r="P927" s="95">
        <v>35000</v>
      </c>
      <c r="Q927" s="90"/>
      <c r="R927" s="95">
        <v>0</v>
      </c>
    </row>
    <row r="928" spans="1:18" x14ac:dyDescent="0.15">
      <c r="C928" s="52"/>
      <c r="D928" s="52"/>
      <c r="E928" s="91"/>
      <c r="G928" s="69"/>
      <c r="H928" s="90"/>
      <c r="I928" s="90"/>
      <c r="J928" s="90"/>
      <c r="K928" s="90"/>
      <c r="L928" s="90"/>
      <c r="M928" s="90"/>
      <c r="N928" s="90"/>
      <c r="O928" s="90"/>
      <c r="P928" s="90"/>
      <c r="Q928" s="90"/>
      <c r="R928" s="90"/>
    </row>
    <row r="929" spans="1:18" x14ac:dyDescent="0.15">
      <c r="E929" s="52" t="s">
        <v>494</v>
      </c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</row>
    <row r="930" spans="1:18" x14ac:dyDescent="0.15">
      <c r="E930" s="52" t="s">
        <v>495</v>
      </c>
      <c r="F930" s="94">
        <f>SUM(H930:L930)</f>
        <v>82720000</v>
      </c>
      <c r="G930" s="69"/>
      <c r="H930" s="94">
        <f>SUM(H917:H927)</f>
        <v>67181000</v>
      </c>
      <c r="I930" s="75"/>
      <c r="J930" s="94">
        <f>SUM(J917:J927)</f>
        <v>15265000</v>
      </c>
      <c r="K930" s="75"/>
      <c r="L930" s="94">
        <f>SUM(L917:L927)</f>
        <v>274000</v>
      </c>
      <c r="M930" s="75"/>
      <c r="N930" s="94">
        <f>SUM(N917:N927)</f>
        <v>36669000</v>
      </c>
      <c r="O930" s="75"/>
      <c r="P930" s="94">
        <f>SUM(P917:P927)</f>
        <v>67021000</v>
      </c>
      <c r="Q930" s="75"/>
      <c r="R930" s="94">
        <f>SUM(R917:R927)</f>
        <v>20970000</v>
      </c>
    </row>
    <row r="931" spans="1:18" x14ac:dyDescent="0.15">
      <c r="A931" s="88"/>
      <c r="B931" s="88"/>
      <c r="C931" s="88"/>
      <c r="D931" s="88"/>
      <c r="E931" s="88"/>
      <c r="G931" s="69"/>
      <c r="H931" s="75"/>
      <c r="I931" s="69"/>
      <c r="J931" s="75"/>
      <c r="K931" s="69"/>
      <c r="L931" s="69"/>
      <c r="M931" s="69"/>
      <c r="N931" s="69"/>
      <c r="O931" s="69"/>
      <c r="P931" s="75"/>
      <c r="Q931" s="69"/>
      <c r="R931" s="69"/>
    </row>
    <row r="932" spans="1:18" x14ac:dyDescent="0.15">
      <c r="A932" s="79" t="s">
        <v>496</v>
      </c>
      <c r="F932" s="94">
        <f>SUM(H932:L932)</f>
        <v>352237000</v>
      </c>
      <c r="G932" s="69"/>
      <c r="H932" s="95">
        <v>8977000</v>
      </c>
      <c r="I932" s="90"/>
      <c r="J932" s="95">
        <v>195367000</v>
      </c>
      <c r="K932" s="90"/>
      <c r="L932" s="95">
        <v>147893000</v>
      </c>
      <c r="M932" s="90"/>
      <c r="N932" s="95">
        <v>0</v>
      </c>
      <c r="O932" s="90"/>
      <c r="P932" s="95">
        <v>352237000</v>
      </c>
      <c r="Q932" s="90"/>
      <c r="R932" s="95">
        <v>0</v>
      </c>
    </row>
    <row r="933" spans="1:18" x14ac:dyDescent="0.15">
      <c r="A933" s="79"/>
      <c r="G933" s="69"/>
      <c r="H933" s="90"/>
      <c r="I933" s="90"/>
      <c r="J933" s="90"/>
      <c r="K933" s="90"/>
      <c r="L933" s="90"/>
      <c r="M933" s="90"/>
      <c r="N933" s="90"/>
      <c r="O933" s="90"/>
      <c r="P933" s="90"/>
      <c r="Q933" s="90"/>
      <c r="R933" s="90"/>
    </row>
    <row r="934" spans="1:18" x14ac:dyDescent="0.15">
      <c r="A934" s="79"/>
      <c r="C934" s="52" t="s">
        <v>497</v>
      </c>
      <c r="F934" s="94">
        <f>SUM(H934:L934)</f>
        <v>-213681000</v>
      </c>
      <c r="G934" s="69"/>
      <c r="H934" s="95">
        <v>0</v>
      </c>
      <c r="I934" s="90"/>
      <c r="J934" s="95">
        <v>-213681000</v>
      </c>
      <c r="K934" s="90"/>
      <c r="L934" s="95">
        <v>0</v>
      </c>
      <c r="M934" s="90"/>
      <c r="N934" s="95">
        <v>0</v>
      </c>
      <c r="O934" s="90"/>
      <c r="P934" s="95">
        <v>-213681000</v>
      </c>
      <c r="Q934" s="90"/>
      <c r="R934" s="95">
        <v>0</v>
      </c>
    </row>
    <row r="935" spans="1:18" x14ac:dyDescent="0.15">
      <c r="A935" s="79"/>
      <c r="G935" s="69"/>
      <c r="H935" s="75"/>
      <c r="I935" s="75"/>
      <c r="J935" s="75"/>
      <c r="K935" s="75"/>
      <c r="L935" s="75"/>
      <c r="M935" s="75"/>
      <c r="N935" s="75"/>
      <c r="O935" s="75"/>
      <c r="P935" s="75"/>
      <c r="Q935" s="75"/>
      <c r="R935" s="75"/>
    </row>
    <row r="936" spans="1:18" x14ac:dyDescent="0.15">
      <c r="A936" s="79"/>
      <c r="E936" s="52" t="s">
        <v>498</v>
      </c>
      <c r="F936" s="94">
        <f>SUM(H936:L936)</f>
        <v>138556000</v>
      </c>
      <c r="G936" s="69"/>
      <c r="H936" s="94">
        <f>+H932+H934</f>
        <v>8977000</v>
      </c>
      <c r="I936" s="75"/>
      <c r="J936" s="94">
        <f>+J932+J934</f>
        <v>-18314000</v>
      </c>
      <c r="K936" s="75"/>
      <c r="L936" s="94">
        <f>+L932+L934</f>
        <v>147893000</v>
      </c>
      <c r="M936" s="75"/>
      <c r="N936" s="94">
        <f>+N932+N934</f>
        <v>0</v>
      </c>
      <c r="O936" s="75"/>
      <c r="P936" s="94">
        <f>+P932+P934</f>
        <v>138556000</v>
      </c>
      <c r="Q936" s="75"/>
      <c r="R936" s="94">
        <f>+R932+R934</f>
        <v>0</v>
      </c>
    </row>
    <row r="937" spans="1:18" x14ac:dyDescent="0.15">
      <c r="A937" s="88"/>
      <c r="B937" s="88"/>
      <c r="C937" s="88"/>
      <c r="D937" s="88"/>
      <c r="E937" s="88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</row>
    <row r="938" spans="1:18" x14ac:dyDescent="0.15">
      <c r="A938" s="79" t="s">
        <v>499</v>
      </c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</row>
    <row r="939" spans="1:18" x14ac:dyDescent="0.15">
      <c r="A939" s="88"/>
      <c r="B939" s="88"/>
      <c r="C939" s="88"/>
      <c r="D939" s="88"/>
      <c r="E939" s="88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</row>
    <row r="940" spans="1:18" x14ac:dyDescent="0.15">
      <c r="C940" s="52" t="s">
        <v>500</v>
      </c>
      <c r="D940" s="52"/>
      <c r="F940" s="94">
        <f>SUM(H940:L940)</f>
        <v>6081000</v>
      </c>
      <c r="G940" s="69"/>
      <c r="H940" s="95">
        <v>0</v>
      </c>
      <c r="I940" s="90"/>
      <c r="J940" s="95">
        <v>6020000</v>
      </c>
      <c r="K940" s="90"/>
      <c r="L940" s="95">
        <v>61000</v>
      </c>
      <c r="M940" s="90"/>
      <c r="N940" s="95">
        <v>2553000</v>
      </c>
      <c r="O940" s="90"/>
      <c r="P940" s="95">
        <v>3528000</v>
      </c>
      <c r="Q940" s="90"/>
      <c r="R940" s="95">
        <v>0</v>
      </c>
    </row>
    <row r="941" spans="1:18" x14ac:dyDescent="0.15">
      <c r="D941" s="52"/>
      <c r="G941" s="69"/>
      <c r="H941" s="75"/>
      <c r="I941" s="75"/>
      <c r="J941" s="75"/>
      <c r="K941" s="75"/>
      <c r="L941" s="75"/>
      <c r="M941" s="75"/>
      <c r="N941" s="75"/>
      <c r="O941" s="75"/>
      <c r="P941" s="75"/>
      <c r="Q941" s="75"/>
      <c r="R941" s="75"/>
    </row>
    <row r="942" spans="1:18" x14ac:dyDescent="0.15">
      <c r="C942" s="53" t="s">
        <v>501</v>
      </c>
      <c r="D942" s="52"/>
      <c r="E942" s="91"/>
      <c r="F942" s="94">
        <f>SUM(H942:L942)</f>
        <v>11410000</v>
      </c>
      <c r="G942" s="69"/>
      <c r="H942" s="95">
        <v>0</v>
      </c>
      <c r="I942" s="90"/>
      <c r="J942" s="95">
        <v>11384000</v>
      </c>
      <c r="K942" s="90"/>
      <c r="L942" s="95">
        <v>26000</v>
      </c>
      <c r="M942" s="90"/>
      <c r="N942" s="95">
        <v>4495000</v>
      </c>
      <c r="O942" s="90"/>
      <c r="P942" s="95">
        <v>9875000</v>
      </c>
      <c r="Q942" s="90"/>
      <c r="R942" s="95">
        <v>2960000</v>
      </c>
    </row>
    <row r="943" spans="1:18" x14ac:dyDescent="0.15">
      <c r="C943" s="52"/>
      <c r="D943" s="52"/>
      <c r="E943" s="91"/>
      <c r="G943" s="69"/>
      <c r="H943" s="90"/>
      <c r="I943" s="90"/>
      <c r="J943" s="90"/>
      <c r="K943" s="90"/>
      <c r="L943" s="90"/>
      <c r="M943" s="90"/>
      <c r="N943" s="90"/>
      <c r="O943" s="90"/>
      <c r="P943" s="90"/>
      <c r="Q943" s="90"/>
      <c r="R943" s="90"/>
    </row>
    <row r="944" spans="1:18" x14ac:dyDescent="0.15">
      <c r="C944" s="52" t="s">
        <v>502</v>
      </c>
      <c r="D944" s="52"/>
      <c r="E944" s="91"/>
      <c r="F944" s="94">
        <f>SUM(H944:L944)</f>
        <v>65800000</v>
      </c>
      <c r="G944" s="69"/>
      <c r="H944" s="95">
        <v>0</v>
      </c>
      <c r="I944" s="90"/>
      <c r="J944" s="95">
        <v>65391000</v>
      </c>
      <c r="K944" s="90"/>
      <c r="L944" s="95">
        <v>409000</v>
      </c>
      <c r="M944" s="90"/>
      <c r="N944" s="95">
        <v>28997000</v>
      </c>
      <c r="O944" s="90"/>
      <c r="P944" s="95">
        <v>40191000</v>
      </c>
      <c r="Q944" s="90"/>
      <c r="R944" s="95">
        <v>3388000</v>
      </c>
    </row>
    <row r="945" spans="1:18" x14ac:dyDescent="0.15">
      <c r="E945" s="52" t="s">
        <v>22</v>
      </c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</row>
    <row r="946" spans="1:18" x14ac:dyDescent="0.15">
      <c r="B946" s="53" t="s">
        <v>503</v>
      </c>
      <c r="F946" s="94">
        <f>SUM(H946:L946)</f>
        <v>26766000</v>
      </c>
      <c r="G946" s="69"/>
      <c r="H946" s="95">
        <v>0</v>
      </c>
      <c r="I946" s="90"/>
      <c r="J946" s="95">
        <v>21540000</v>
      </c>
      <c r="K946" s="90"/>
      <c r="L946" s="95">
        <v>5226000</v>
      </c>
      <c r="M946" s="90"/>
      <c r="N946" s="95">
        <v>9991000</v>
      </c>
      <c r="O946" s="90"/>
      <c r="P946" s="95">
        <v>16789000</v>
      </c>
      <c r="Q946" s="90"/>
      <c r="R946" s="95">
        <v>14000</v>
      </c>
    </row>
    <row r="947" spans="1:18" x14ac:dyDescent="0.15">
      <c r="A947" s="88"/>
      <c r="B947" s="88"/>
      <c r="C947" s="88"/>
      <c r="D947" s="88"/>
      <c r="E947" s="88"/>
      <c r="G947" s="69"/>
      <c r="H947" s="90"/>
      <c r="I947" s="90"/>
      <c r="J947" s="90"/>
      <c r="K947" s="90"/>
      <c r="L947" s="90"/>
      <c r="M947" s="90"/>
      <c r="N947" s="90"/>
      <c r="O947" s="90"/>
      <c r="P947" s="90"/>
      <c r="Q947" s="90"/>
      <c r="R947" s="90"/>
    </row>
    <row r="948" spans="1:18" x14ac:dyDescent="0.15">
      <c r="B948" s="53" t="s">
        <v>504</v>
      </c>
      <c r="F948" s="94">
        <f>SUM(H948:L948)</f>
        <v>3266000</v>
      </c>
      <c r="G948" s="69"/>
      <c r="H948" s="95">
        <v>0</v>
      </c>
      <c r="I948" s="90"/>
      <c r="J948" s="95">
        <v>3266000</v>
      </c>
      <c r="K948" s="90"/>
      <c r="L948" s="95">
        <v>0</v>
      </c>
      <c r="M948" s="90"/>
      <c r="N948" s="95">
        <v>1596000</v>
      </c>
      <c r="O948" s="90"/>
      <c r="P948" s="95">
        <v>4064000</v>
      </c>
      <c r="Q948" s="90"/>
      <c r="R948" s="95">
        <v>2394000</v>
      </c>
    </row>
    <row r="949" spans="1:18" x14ac:dyDescent="0.15">
      <c r="A949" s="88"/>
      <c r="B949" s="88"/>
      <c r="C949" s="88"/>
      <c r="D949" s="88"/>
      <c r="E949" s="88"/>
      <c r="G949" s="69"/>
      <c r="H949" s="90"/>
      <c r="I949" s="90"/>
      <c r="J949" s="90"/>
      <c r="K949" s="90"/>
      <c r="L949" s="90"/>
      <c r="M949" s="90"/>
      <c r="N949" s="90"/>
      <c r="O949" s="90"/>
      <c r="P949" s="90"/>
      <c r="Q949" s="90"/>
      <c r="R949" s="90"/>
    </row>
    <row r="950" spans="1:18" x14ac:dyDescent="0.15">
      <c r="A950" s="88"/>
      <c r="B950" s="88" t="s">
        <v>456</v>
      </c>
      <c r="C950" s="88"/>
      <c r="D950" s="88"/>
      <c r="E950" s="88"/>
      <c r="F950" s="94">
        <f>SUM(H950:L950)</f>
        <v>27174000</v>
      </c>
      <c r="G950" s="69"/>
      <c r="H950" s="95">
        <v>0</v>
      </c>
      <c r="I950" s="90"/>
      <c r="J950" s="95">
        <v>27138000</v>
      </c>
      <c r="K950" s="90"/>
      <c r="L950" s="95">
        <v>36000</v>
      </c>
      <c r="M950" s="90"/>
      <c r="N950" s="95">
        <v>7184000</v>
      </c>
      <c r="O950" s="90"/>
      <c r="P950" s="95">
        <v>20218000</v>
      </c>
      <c r="Q950" s="90"/>
      <c r="R950" s="95">
        <v>228000</v>
      </c>
    </row>
    <row r="951" spans="1:18" x14ac:dyDescent="0.15">
      <c r="A951" s="88"/>
      <c r="B951" s="88"/>
      <c r="C951" s="88"/>
      <c r="D951" s="88"/>
      <c r="E951" s="88"/>
      <c r="G951" s="69"/>
      <c r="H951" s="90"/>
      <c r="I951" s="90"/>
      <c r="J951" s="90"/>
      <c r="K951" s="90"/>
      <c r="L951" s="90"/>
      <c r="M951" s="90"/>
      <c r="N951" s="90"/>
      <c r="O951" s="90"/>
      <c r="P951" s="90"/>
      <c r="Q951" s="90"/>
      <c r="R951" s="90"/>
    </row>
    <row r="952" spans="1:18" x14ac:dyDescent="0.15">
      <c r="A952" s="88"/>
      <c r="B952" s="53" t="s">
        <v>399</v>
      </c>
      <c r="C952" s="88"/>
      <c r="D952" s="88"/>
      <c r="E952" s="88"/>
      <c r="G952" s="69"/>
      <c r="H952" s="90"/>
      <c r="I952" s="90"/>
      <c r="J952" s="90"/>
      <c r="K952" s="90"/>
      <c r="L952" s="90"/>
      <c r="M952" s="90"/>
      <c r="N952" s="90"/>
      <c r="O952" s="90"/>
      <c r="P952" s="90"/>
      <c r="Q952" s="90"/>
      <c r="R952" s="90"/>
    </row>
    <row r="953" spans="1:18" x14ac:dyDescent="0.15">
      <c r="B953" s="78"/>
      <c r="C953" s="53" t="s">
        <v>400</v>
      </c>
      <c r="F953" s="94">
        <f>SUM(H953:L953)</f>
        <v>244000</v>
      </c>
      <c r="G953" s="69"/>
      <c r="H953" s="95">
        <v>0</v>
      </c>
      <c r="I953" s="90"/>
      <c r="J953" s="95">
        <v>243000</v>
      </c>
      <c r="K953" s="90"/>
      <c r="L953" s="95">
        <v>1000</v>
      </c>
      <c r="M953" s="90"/>
      <c r="N953" s="95">
        <v>206000</v>
      </c>
      <c r="O953" s="90"/>
      <c r="P953" s="95">
        <v>38000</v>
      </c>
      <c r="Q953" s="90"/>
      <c r="R953" s="95">
        <v>0</v>
      </c>
    </row>
    <row r="954" spans="1:18" x14ac:dyDescent="0.15">
      <c r="B954" s="78"/>
      <c r="G954" s="69"/>
      <c r="H954" s="90"/>
      <c r="I954" s="90"/>
      <c r="J954" s="90"/>
      <c r="K954" s="90"/>
      <c r="L954" s="90"/>
      <c r="M954" s="90"/>
      <c r="N954" s="90"/>
      <c r="O954" s="90"/>
      <c r="P954" s="90"/>
      <c r="Q954" s="90"/>
      <c r="R954" s="90"/>
    </row>
    <row r="955" spans="1:18" x14ac:dyDescent="0.15">
      <c r="E955" s="52" t="s">
        <v>505</v>
      </c>
      <c r="F955" s="94">
        <f>SUM(H955:L955)</f>
        <v>140741000</v>
      </c>
      <c r="G955" s="75"/>
      <c r="H955" s="94">
        <f>+H946+H948+H950+H953+H944+H940+H942</f>
        <v>0</v>
      </c>
      <c r="I955" s="75"/>
      <c r="J955" s="94">
        <f>+J946+J948+J950+J953+J944+J940+J942</f>
        <v>134982000</v>
      </c>
      <c r="K955" s="75"/>
      <c r="L955" s="94">
        <f>+L946+L948+L950+L953+L944+L940+L942</f>
        <v>5759000</v>
      </c>
      <c r="M955" s="75"/>
      <c r="N955" s="94">
        <f>+N946+N948+N950+N953+N944+N940+N942</f>
        <v>55022000</v>
      </c>
      <c r="O955" s="75"/>
      <c r="P955" s="94">
        <f>+P946+P948+P950+P953+P944+P940+P942</f>
        <v>94703000</v>
      </c>
      <c r="Q955" s="75"/>
      <c r="R955" s="94">
        <f>+R946+R948+R950+R953+R944+R940+R942</f>
        <v>8984000</v>
      </c>
    </row>
    <row r="956" spans="1:18" x14ac:dyDescent="0.15">
      <c r="G956" s="75"/>
      <c r="H956" s="75"/>
      <c r="I956" s="75"/>
      <c r="J956" s="75"/>
      <c r="K956" s="75"/>
      <c r="L956" s="75"/>
      <c r="M956" s="75"/>
      <c r="N956" s="75"/>
      <c r="O956" s="75"/>
      <c r="P956" s="75"/>
      <c r="Q956" s="75"/>
      <c r="R956" s="75"/>
    </row>
    <row r="957" spans="1:18" x14ac:dyDescent="0.15">
      <c r="G957" s="75"/>
      <c r="H957" s="75"/>
      <c r="I957" s="75"/>
      <c r="J957" s="75"/>
      <c r="K957" s="75"/>
      <c r="L957" s="75"/>
      <c r="M957" s="75"/>
      <c r="N957" s="75"/>
      <c r="O957" s="75"/>
      <c r="P957" s="75"/>
      <c r="Q957" s="75"/>
      <c r="R957" s="75"/>
    </row>
    <row r="958" spans="1:18" x14ac:dyDescent="0.15">
      <c r="E958" s="52" t="s">
        <v>506</v>
      </c>
      <c r="F958" s="94">
        <f>SUM(H958:L958)</f>
        <v>2426383000</v>
      </c>
      <c r="G958" s="75"/>
      <c r="H958" s="94">
        <f>H37+H51+H73+H85+H138+H161+H175+H185+H351+H361+H396+H408+H420+H432+H444+H483+H493+H497+H501+H694+H786+H912+H930+H936+H955</f>
        <v>565769000</v>
      </c>
      <c r="I958" s="75"/>
      <c r="J958" s="94">
        <f>J37+J51+J73+J85+J138+J161+J175+J185+J351+J361+J396+J408+J420+J432+J444+J483+J493+J497+J501+J694+J786+J912+J930+J936+J955</f>
        <v>984694000</v>
      </c>
      <c r="K958" s="75"/>
      <c r="L958" s="94">
        <f>L37+L51+L73+L85+L138+L161+L175+L185+L351+L361+L396+L408+L420+L432+L444+L483+L493+L497+L501+L694+L786+L912+L930+L936+L955</f>
        <v>875920000</v>
      </c>
      <c r="M958" s="75"/>
      <c r="N958" s="94">
        <f>N37+N51+N73+N85+N138+N161+N175+N185+N351+N361+N396+N408+N420+N432+N444+N483+N493+N497+N501+N694+N786+N912+N930+N936+N955</f>
        <v>1210974000</v>
      </c>
      <c r="O958" s="75"/>
      <c r="P958" s="94">
        <f>P37+P51+P73+P85+P138+P161+P175+P185+P351+P361+P396+P408+P420+P432+P444+P483+P493+P497+P501+P694+P786+P912+P930+P936+P955</f>
        <v>1356747000</v>
      </c>
      <c r="Q958" s="75"/>
      <c r="R958" s="94">
        <f>R37+R51+R73+R85+R138+R161+R175+R185+R351+R361+R396+R408+R420+R432+R444+R483+R493+R497+R501+R694+R786+R912+R930+R936+R955</f>
        <v>141338000</v>
      </c>
    </row>
    <row r="959" spans="1:18" x14ac:dyDescent="0.15">
      <c r="N959" s="86" t="s">
        <v>22</v>
      </c>
    </row>
    <row r="960" spans="1:18" x14ac:dyDescent="0.15">
      <c r="D960" s="53" t="s">
        <v>507</v>
      </c>
      <c r="F960" s="94">
        <f>SUM(H960:L960)</f>
        <v>-79300000</v>
      </c>
      <c r="G960" s="69"/>
      <c r="H960" s="95">
        <v>-20936000</v>
      </c>
      <c r="I960" s="90"/>
      <c r="J960" s="95">
        <v>-17702000</v>
      </c>
      <c r="K960" s="90"/>
      <c r="L960" s="95">
        <v>-40662000</v>
      </c>
      <c r="M960" s="90"/>
      <c r="N960" s="95">
        <v>-11923000</v>
      </c>
      <c r="O960" s="90"/>
      <c r="P960" s="95">
        <v>-67377000</v>
      </c>
      <c r="Q960" s="90"/>
      <c r="R960" s="95">
        <v>0</v>
      </c>
    </row>
    <row r="961" spans="2:18" x14ac:dyDescent="0.15">
      <c r="G961" s="69"/>
      <c r="H961" s="90"/>
      <c r="I961" s="90"/>
      <c r="J961" s="90"/>
      <c r="K961" s="90"/>
      <c r="L961" s="90"/>
      <c r="M961" s="90"/>
      <c r="N961" s="90"/>
      <c r="O961" s="90"/>
      <c r="P961" s="90"/>
      <c r="Q961" s="90"/>
      <c r="R961" s="90"/>
    </row>
    <row r="962" spans="2:18" x14ac:dyDescent="0.15">
      <c r="B962" s="101" t="s">
        <v>509</v>
      </c>
      <c r="F962" s="94">
        <f>SUM(H962:L962)</f>
        <v>32349000</v>
      </c>
      <c r="G962" s="69"/>
      <c r="H962" s="95">
        <v>32349000</v>
      </c>
      <c r="I962" s="90"/>
      <c r="J962" s="95">
        <v>0</v>
      </c>
      <c r="K962" s="90"/>
      <c r="L962" s="95">
        <v>0</v>
      </c>
      <c r="M962" s="90"/>
      <c r="N962" s="95">
        <v>0</v>
      </c>
      <c r="O962" s="90"/>
      <c r="P962" s="95">
        <v>64772000</v>
      </c>
      <c r="Q962" s="90"/>
      <c r="R962" s="95">
        <v>32423000</v>
      </c>
    </row>
    <row r="963" spans="2:18" x14ac:dyDescent="0.15">
      <c r="G963" s="69"/>
      <c r="H963" s="90"/>
      <c r="I963" s="90"/>
      <c r="J963" s="90"/>
      <c r="K963" s="90"/>
      <c r="L963" s="90"/>
      <c r="M963" s="90"/>
      <c r="N963" s="90"/>
      <c r="O963" s="90"/>
      <c r="P963" s="90"/>
      <c r="Q963" s="90"/>
      <c r="R963" s="90"/>
    </row>
    <row r="964" spans="2:18" ht="14" thickBot="1" x14ac:dyDescent="0.2">
      <c r="E964" s="52" t="s">
        <v>508</v>
      </c>
      <c r="F964" s="102">
        <f>SUM(H964:L964)</f>
        <v>2379432000</v>
      </c>
      <c r="G964" s="69"/>
      <c r="H964" s="102">
        <f>+(H958+H960+H962)</f>
        <v>577182000</v>
      </c>
      <c r="I964" s="103"/>
      <c r="J964" s="102">
        <f>(+J958+J960+J962)</f>
        <v>966992000</v>
      </c>
      <c r="K964" s="102"/>
      <c r="L964" s="102">
        <f>(+L958+L960+L962)</f>
        <v>835258000</v>
      </c>
      <c r="M964" s="102"/>
      <c r="N964" s="102">
        <f>(+N958+N960+N962)</f>
        <v>1199051000</v>
      </c>
      <c r="O964" s="102"/>
      <c r="P964" s="102">
        <f>(+P958+P960+P962)</f>
        <v>1354142000</v>
      </c>
      <c r="Q964" s="102"/>
      <c r="R964" s="102">
        <f>(+R958+R960+R962)</f>
        <v>173761000</v>
      </c>
    </row>
    <row r="965" spans="2:18" ht="14" thickTop="1" x14ac:dyDescent="0.15"/>
    <row r="966" spans="2:18" x14ac:dyDescent="0.15">
      <c r="E966" s="104" t="s">
        <v>514</v>
      </c>
      <c r="F966" s="75">
        <f>F964/1000-'[3]CFRX3221-BK'!N74</f>
        <v>-3</v>
      </c>
      <c r="H966" s="86">
        <f>H964/1000-'[3]CFRX3221-BK'!B74</f>
        <v>0</v>
      </c>
    </row>
  </sheetData>
  <printOptions horizontalCentered="1"/>
  <pageMargins left="0.5" right="0.23" top="1.1000000000000001" bottom="0.5" header="0.5" footer="0.25"/>
  <pageSetup scale="82" orientation="portrait" r:id="rId1"/>
  <headerFooter>
    <oddHeader>&amp;L
  &amp;"Times New Roman,Regular"(Dollars in Thousands)&amp;C&amp;"Times New Roman,Regular"
Berkeley
CURRENT FUNDS EXPENDITURES BY DEPARTMENT&amp;R
&amp;"Times New Roman,Regular"2015-16 Schedule 1-C</oddHeader>
  </headerFooter>
  <rowBreaks count="5" manualBreakCount="5">
    <brk id="229" max="16383" man="1"/>
    <brk id="397" max="16383" man="1"/>
    <brk id="641" max="17" man="1"/>
    <brk id="694" max="16383" man="1"/>
    <brk id="864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363B1-22F7-694A-A8E3-C7540E7A4174}">
  <dimension ref="A1:AF1030"/>
  <sheetViews>
    <sheetView topLeftCell="A392" zoomScale="145" zoomScaleNormal="145" workbookViewId="0">
      <selection activeCell="U25" sqref="U25"/>
    </sheetView>
  </sheetViews>
  <sheetFormatPr baseColWidth="10" defaultColWidth="8.83203125" defaultRowHeight="15" x14ac:dyDescent="0.2"/>
  <cols>
    <col min="1" max="4" width="1.6640625" customWidth="1"/>
    <col min="5" max="5" width="33.1640625" customWidth="1"/>
    <col min="6" max="6" width="11.6640625" bestFit="1" customWidth="1"/>
    <col min="7" max="7" width="1.1640625" customWidth="1"/>
    <col min="8" max="8" width="11" customWidth="1"/>
    <col min="9" max="9" width="1.1640625" customWidth="1"/>
    <col min="10" max="10" width="12.33203125" customWidth="1"/>
    <col min="11" max="11" width="1.1640625" customWidth="1"/>
    <col min="12" max="12" width="10.83203125" customWidth="1"/>
    <col min="13" max="13" width="1.1640625" customWidth="1"/>
    <col min="14" max="14" width="11" bestFit="1" customWidth="1"/>
    <col min="15" max="15" width="1.1640625" customWidth="1"/>
    <col min="16" max="16" width="17.5" customWidth="1"/>
    <col min="17" max="17" width="1.1640625" customWidth="1"/>
    <col min="18" max="18" width="13.5" customWidth="1"/>
  </cols>
  <sheetData>
    <row r="1" spans="1:18" x14ac:dyDescent="0.2">
      <c r="A1" s="64"/>
      <c r="B1" s="64"/>
      <c r="C1" s="64"/>
      <c r="D1" s="64"/>
      <c r="E1" s="63"/>
      <c r="F1" s="62"/>
      <c r="G1" s="61"/>
      <c r="H1" s="108" t="s">
        <v>0</v>
      </c>
      <c r="I1" s="108"/>
      <c r="J1" s="108"/>
      <c r="K1" s="108"/>
      <c r="L1" s="108"/>
      <c r="M1" s="61"/>
      <c r="N1" s="108" t="s">
        <v>1</v>
      </c>
      <c r="O1" s="108"/>
      <c r="P1" s="108"/>
      <c r="Q1" s="108"/>
      <c r="R1" s="108"/>
    </row>
    <row r="2" spans="1:18" ht="29" x14ac:dyDescent="0.2">
      <c r="A2" s="53" t="s">
        <v>2</v>
      </c>
      <c r="B2" s="60"/>
      <c r="C2" s="60"/>
      <c r="D2" s="60"/>
      <c r="E2" s="59"/>
      <c r="F2" s="58" t="s">
        <v>3</v>
      </c>
      <c r="G2" s="57"/>
      <c r="H2" s="56" t="s">
        <v>4</v>
      </c>
      <c r="I2" s="56"/>
      <c r="J2" s="56"/>
      <c r="K2" s="55"/>
      <c r="L2" s="54" t="s">
        <v>5</v>
      </c>
      <c r="M2" s="55"/>
      <c r="N2" s="54" t="s">
        <v>6</v>
      </c>
      <c r="O2" s="55"/>
      <c r="P2" s="54" t="s">
        <v>7</v>
      </c>
      <c r="Q2" s="55"/>
      <c r="R2" s="54" t="s">
        <v>8</v>
      </c>
    </row>
    <row r="3" spans="1:18" x14ac:dyDescent="0.2">
      <c r="A3" s="53"/>
      <c r="B3" s="53"/>
      <c r="C3" s="53"/>
      <c r="D3" s="53"/>
      <c r="E3" s="52"/>
      <c r="F3" s="51"/>
      <c r="G3" s="39"/>
      <c r="H3" s="50" t="s">
        <v>9</v>
      </c>
      <c r="I3" s="49"/>
      <c r="J3" s="50" t="s">
        <v>10</v>
      </c>
      <c r="K3" s="49"/>
      <c r="L3" s="39"/>
      <c r="M3" s="49"/>
      <c r="N3" s="48"/>
      <c r="O3" s="48"/>
      <c r="P3" s="48"/>
      <c r="Q3" s="48"/>
      <c r="R3" s="48"/>
    </row>
    <row r="4" spans="1:18" x14ac:dyDescent="0.2">
      <c r="A4" s="47" t="s">
        <v>11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</row>
    <row r="5" spans="1:18" x14ac:dyDescent="0.2">
      <c r="A5" s="42"/>
      <c r="B5" s="44" t="s">
        <v>12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</row>
    <row r="6" spans="1:18" x14ac:dyDescent="0.2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</row>
    <row r="7" spans="1:18" x14ac:dyDescent="0.2">
      <c r="A7" s="42"/>
      <c r="B7" s="42" t="s">
        <v>13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</row>
    <row r="8" spans="1:18" x14ac:dyDescent="0.2">
      <c r="A8" s="42"/>
      <c r="B8" s="42"/>
      <c r="C8" s="42" t="s">
        <v>14</v>
      </c>
      <c r="D8" s="42"/>
      <c r="E8" s="42"/>
      <c r="F8" s="46">
        <v>103000</v>
      </c>
      <c r="G8" s="42"/>
      <c r="H8" s="46">
        <v>1000</v>
      </c>
      <c r="I8" s="42"/>
      <c r="J8" s="46">
        <v>2000</v>
      </c>
      <c r="K8" s="42"/>
      <c r="L8" s="46">
        <v>100000</v>
      </c>
      <c r="M8" s="42"/>
      <c r="N8" s="46">
        <v>67000</v>
      </c>
      <c r="O8" s="42"/>
      <c r="P8" s="46">
        <v>36000</v>
      </c>
      <c r="Q8" s="42"/>
      <c r="R8" s="46">
        <v>0</v>
      </c>
    </row>
    <row r="9" spans="1:18" x14ac:dyDescent="0.2">
      <c r="A9" s="42"/>
      <c r="B9" s="42"/>
      <c r="C9" s="42" t="s">
        <v>15</v>
      </c>
      <c r="D9" s="42"/>
      <c r="E9" s="42"/>
      <c r="F9" s="45">
        <v>0</v>
      </c>
      <c r="G9" s="42"/>
      <c r="H9" s="45">
        <v>0</v>
      </c>
      <c r="I9" s="42"/>
      <c r="J9" s="45">
        <v>-1000</v>
      </c>
      <c r="K9" s="42"/>
      <c r="L9" s="45">
        <v>1000</v>
      </c>
      <c r="M9" s="42"/>
      <c r="N9" s="45">
        <v>0</v>
      </c>
      <c r="O9" s="42"/>
      <c r="P9" s="45">
        <v>1000</v>
      </c>
      <c r="Q9" s="42"/>
      <c r="R9" s="45">
        <v>1000</v>
      </c>
    </row>
    <row r="10" spans="1:18" x14ac:dyDescent="0.2">
      <c r="A10" s="42"/>
      <c r="B10" s="42"/>
      <c r="C10" s="42" t="s">
        <v>16</v>
      </c>
      <c r="D10" s="42"/>
      <c r="E10" s="42"/>
      <c r="F10" s="45">
        <v>69000</v>
      </c>
      <c r="G10" s="42"/>
      <c r="H10" s="45">
        <v>31000</v>
      </c>
      <c r="I10" s="42"/>
      <c r="J10" s="45">
        <v>1000</v>
      </c>
      <c r="K10" s="42"/>
      <c r="L10" s="45">
        <v>37000</v>
      </c>
      <c r="M10" s="42"/>
      <c r="N10" s="45">
        <v>19000</v>
      </c>
      <c r="O10" s="42"/>
      <c r="P10" s="45">
        <v>50000</v>
      </c>
      <c r="Q10" s="42"/>
      <c r="R10" s="45">
        <v>0</v>
      </c>
    </row>
    <row r="11" spans="1:18" x14ac:dyDescent="0.2">
      <c r="A11" s="42"/>
      <c r="B11" s="42"/>
      <c r="C11" s="42" t="s">
        <v>17</v>
      </c>
      <c r="D11" s="42"/>
      <c r="E11" s="42"/>
      <c r="F11" s="45">
        <v>75000</v>
      </c>
      <c r="G11" s="42"/>
      <c r="H11" s="45">
        <v>12000</v>
      </c>
      <c r="I11" s="42"/>
      <c r="J11" s="45">
        <v>28000</v>
      </c>
      <c r="K11" s="42"/>
      <c r="L11" s="45">
        <v>35000</v>
      </c>
      <c r="M11" s="42"/>
      <c r="N11" s="45">
        <v>17000</v>
      </c>
      <c r="O11" s="42"/>
      <c r="P11" s="45">
        <v>58000</v>
      </c>
      <c r="Q11" s="42"/>
      <c r="R11" s="45">
        <v>0</v>
      </c>
    </row>
    <row r="12" spans="1:18" x14ac:dyDescent="0.2">
      <c r="A12" s="42"/>
      <c r="B12" s="42"/>
      <c r="C12" s="42" t="s">
        <v>18</v>
      </c>
      <c r="D12" s="42"/>
      <c r="E12" s="42"/>
      <c r="F12" s="45">
        <v>5000</v>
      </c>
      <c r="G12" s="42"/>
      <c r="H12" s="45">
        <v>0</v>
      </c>
      <c r="I12" s="42"/>
      <c r="J12" s="45">
        <v>4000</v>
      </c>
      <c r="K12" s="42"/>
      <c r="L12" s="45">
        <v>1000</v>
      </c>
      <c r="M12" s="42"/>
      <c r="N12" s="45">
        <v>0</v>
      </c>
      <c r="O12" s="42"/>
      <c r="P12" s="45">
        <v>5000</v>
      </c>
      <c r="Q12" s="42"/>
      <c r="R12" s="45">
        <v>0</v>
      </c>
    </row>
    <row r="13" spans="1:18" x14ac:dyDescent="0.2">
      <c r="A13" s="42"/>
      <c r="B13" s="42"/>
      <c r="C13" s="42" t="s">
        <v>19</v>
      </c>
      <c r="D13" s="42"/>
      <c r="E13" s="42"/>
      <c r="F13" s="45">
        <v>33000</v>
      </c>
      <c r="G13" s="42"/>
      <c r="H13" s="45">
        <v>7000</v>
      </c>
      <c r="I13" s="42"/>
      <c r="J13" s="45">
        <v>25000</v>
      </c>
      <c r="K13" s="42"/>
      <c r="L13" s="45">
        <v>1000</v>
      </c>
      <c r="M13" s="42"/>
      <c r="N13" s="45">
        <v>25000</v>
      </c>
      <c r="O13" s="42"/>
      <c r="P13" s="45">
        <v>8000</v>
      </c>
      <c r="Q13" s="42"/>
      <c r="R13" s="45">
        <v>0</v>
      </c>
    </row>
    <row r="14" spans="1:18" x14ac:dyDescent="0.2">
      <c r="A14" s="42"/>
      <c r="B14" s="42"/>
      <c r="C14" s="42" t="s">
        <v>20</v>
      </c>
      <c r="D14" s="42"/>
      <c r="E14" s="42"/>
      <c r="F14" s="45">
        <v>10000</v>
      </c>
      <c r="G14" s="42"/>
      <c r="H14" s="45">
        <v>-1000</v>
      </c>
      <c r="I14" s="42"/>
      <c r="J14" s="45">
        <v>0</v>
      </c>
      <c r="K14" s="42"/>
      <c r="L14" s="45">
        <v>11000</v>
      </c>
      <c r="M14" s="42"/>
      <c r="N14" s="45">
        <v>0</v>
      </c>
      <c r="O14" s="42"/>
      <c r="P14" s="45">
        <v>10000</v>
      </c>
      <c r="Q14" s="42"/>
      <c r="R14" s="45">
        <v>0</v>
      </c>
    </row>
    <row r="15" spans="1:18" x14ac:dyDescent="0.2">
      <c r="A15" s="42"/>
      <c r="B15" s="42"/>
      <c r="C15" s="42" t="s">
        <v>21</v>
      </c>
      <c r="D15" s="42"/>
      <c r="E15" s="42"/>
      <c r="F15" s="42"/>
      <c r="G15" s="42"/>
      <c r="H15" s="45"/>
      <c r="I15" s="42"/>
      <c r="J15" s="45"/>
      <c r="K15" s="42"/>
      <c r="L15" s="45"/>
      <c r="M15" s="42"/>
      <c r="N15" s="45"/>
      <c r="O15" s="42"/>
      <c r="P15" s="45"/>
      <c r="Q15" s="42"/>
      <c r="R15" s="45"/>
    </row>
    <row r="16" spans="1:18" x14ac:dyDescent="0.2">
      <c r="A16" s="42"/>
      <c r="B16" s="42"/>
      <c r="C16" s="42" t="s">
        <v>22</v>
      </c>
      <c r="D16" s="42"/>
      <c r="E16" s="42" t="s">
        <v>23</v>
      </c>
      <c r="F16" s="43">
        <v>40000</v>
      </c>
      <c r="G16" s="42"/>
      <c r="H16" s="43">
        <v>32000</v>
      </c>
      <c r="I16" s="42"/>
      <c r="J16" s="43">
        <v>6000</v>
      </c>
      <c r="K16" s="42"/>
      <c r="L16" s="43">
        <v>2000</v>
      </c>
      <c r="M16" s="42"/>
      <c r="N16" s="43">
        <v>26000</v>
      </c>
      <c r="O16" s="42"/>
      <c r="P16" s="43">
        <v>14000</v>
      </c>
      <c r="Q16" s="42"/>
      <c r="R16" s="43">
        <v>0</v>
      </c>
    </row>
    <row r="17" spans="1:18" x14ac:dyDescent="0.2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</row>
    <row r="18" spans="1:18" x14ac:dyDescent="0.2">
      <c r="A18" s="42"/>
      <c r="B18" s="42"/>
      <c r="C18" s="42"/>
      <c r="D18" s="42"/>
      <c r="E18" s="42" t="s">
        <v>3</v>
      </c>
      <c r="F18" s="43">
        <f>SUM(F8:F16)</f>
        <v>335000</v>
      </c>
      <c r="G18" s="42"/>
      <c r="H18" s="43">
        <v>82000</v>
      </c>
      <c r="I18" s="42"/>
      <c r="J18" s="43">
        <v>65000</v>
      </c>
      <c r="K18" s="42"/>
      <c r="L18" s="43">
        <v>188000</v>
      </c>
      <c r="M18" s="42"/>
      <c r="N18" s="43">
        <v>154000</v>
      </c>
      <c r="O18" s="42"/>
      <c r="P18" s="43">
        <v>182000</v>
      </c>
      <c r="Q18" s="42"/>
      <c r="R18" s="43">
        <v>1000</v>
      </c>
    </row>
    <row r="19" spans="1:18" x14ac:dyDescent="0.2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</row>
    <row r="20" spans="1:18" x14ac:dyDescent="0.2">
      <c r="A20" s="42"/>
      <c r="B20" s="42" t="s">
        <v>24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</row>
    <row r="21" spans="1:18" x14ac:dyDescent="0.2">
      <c r="A21" s="42"/>
      <c r="B21" s="42"/>
      <c r="C21" s="42" t="s">
        <v>14</v>
      </c>
      <c r="D21" s="42"/>
      <c r="E21" s="42"/>
      <c r="F21" s="45">
        <v>4789000</v>
      </c>
      <c r="G21" s="42"/>
      <c r="H21" s="45">
        <v>3533000</v>
      </c>
      <c r="I21" s="42"/>
      <c r="J21" s="45">
        <v>78000</v>
      </c>
      <c r="K21" s="42"/>
      <c r="L21" s="45">
        <v>1178000</v>
      </c>
      <c r="M21" s="42"/>
      <c r="N21" s="45">
        <v>3122000</v>
      </c>
      <c r="O21" s="42"/>
      <c r="P21" s="45">
        <v>1667000</v>
      </c>
      <c r="Q21" s="42"/>
      <c r="R21" s="45">
        <v>0</v>
      </c>
    </row>
    <row r="22" spans="1:18" x14ac:dyDescent="0.2">
      <c r="A22" s="42"/>
      <c r="B22" s="42"/>
      <c r="C22" s="42" t="s">
        <v>15</v>
      </c>
      <c r="D22" s="42"/>
      <c r="E22" s="42"/>
      <c r="F22" s="45">
        <v>2060000</v>
      </c>
      <c r="G22" s="42"/>
      <c r="H22" s="45">
        <v>940000</v>
      </c>
      <c r="I22" s="42"/>
      <c r="J22" s="45">
        <v>174000</v>
      </c>
      <c r="K22" s="42"/>
      <c r="L22" s="45">
        <v>946000</v>
      </c>
      <c r="M22" s="42"/>
      <c r="N22" s="45">
        <v>1390000</v>
      </c>
      <c r="O22" s="42"/>
      <c r="P22" s="45">
        <v>1019000</v>
      </c>
      <c r="Q22" s="42"/>
      <c r="R22" s="45">
        <v>349000</v>
      </c>
    </row>
    <row r="23" spans="1:18" x14ac:dyDescent="0.2">
      <c r="A23" s="42"/>
      <c r="B23" s="42"/>
      <c r="C23" s="42" t="s">
        <v>16</v>
      </c>
      <c r="D23" s="42"/>
      <c r="E23" s="42"/>
      <c r="F23" s="45">
        <v>9878000</v>
      </c>
      <c r="G23" s="42"/>
      <c r="H23" s="45">
        <v>2862000</v>
      </c>
      <c r="I23" s="42"/>
      <c r="J23" s="45">
        <v>467000</v>
      </c>
      <c r="K23" s="42"/>
      <c r="L23" s="45">
        <v>6549000</v>
      </c>
      <c r="M23" s="42"/>
      <c r="N23" s="45">
        <v>5045000</v>
      </c>
      <c r="O23" s="42"/>
      <c r="P23" s="45">
        <v>4835000</v>
      </c>
      <c r="Q23" s="42"/>
      <c r="R23" s="45">
        <v>2000</v>
      </c>
    </row>
    <row r="24" spans="1:18" x14ac:dyDescent="0.2">
      <c r="A24" s="42"/>
      <c r="B24" s="42"/>
      <c r="C24" s="42" t="s">
        <v>25</v>
      </c>
      <c r="D24" s="42"/>
      <c r="E24" s="42"/>
      <c r="F24" s="45">
        <v>540000</v>
      </c>
      <c r="G24" s="42"/>
      <c r="H24" s="45">
        <v>86000</v>
      </c>
      <c r="I24" s="42"/>
      <c r="J24" s="45">
        <v>362000</v>
      </c>
      <c r="K24" s="42"/>
      <c r="L24" s="45">
        <v>92000</v>
      </c>
      <c r="M24" s="42"/>
      <c r="N24" s="45">
        <v>335000</v>
      </c>
      <c r="O24" s="42"/>
      <c r="P24" s="45">
        <v>212000</v>
      </c>
      <c r="Q24" s="42"/>
      <c r="R24" s="45">
        <v>7000</v>
      </c>
    </row>
    <row r="25" spans="1:18" x14ac:dyDescent="0.2">
      <c r="A25" s="42"/>
      <c r="B25" s="42"/>
      <c r="C25" s="42" t="s">
        <v>26</v>
      </c>
      <c r="D25" s="42"/>
      <c r="E25" s="42"/>
      <c r="F25" s="45">
        <v>0</v>
      </c>
      <c r="G25" s="42"/>
      <c r="H25" s="45">
        <v>0</v>
      </c>
      <c r="I25" s="42"/>
      <c r="J25" s="45">
        <v>0</v>
      </c>
      <c r="K25" s="42"/>
      <c r="L25" s="45">
        <v>0</v>
      </c>
      <c r="M25" s="42"/>
      <c r="N25" s="45">
        <v>0</v>
      </c>
      <c r="O25" s="42"/>
      <c r="P25" s="45">
        <v>0</v>
      </c>
      <c r="Q25" s="42"/>
      <c r="R25" s="45">
        <v>0</v>
      </c>
    </row>
    <row r="26" spans="1:18" x14ac:dyDescent="0.2">
      <c r="A26" s="42"/>
      <c r="B26" s="42"/>
      <c r="C26" s="42" t="s">
        <v>17</v>
      </c>
      <c r="D26" s="42"/>
      <c r="E26" s="42"/>
      <c r="F26" s="45">
        <v>5444000</v>
      </c>
      <c r="G26" s="42"/>
      <c r="H26" s="45">
        <v>2574000</v>
      </c>
      <c r="I26" s="42"/>
      <c r="J26" s="45">
        <v>154000</v>
      </c>
      <c r="K26" s="42"/>
      <c r="L26" s="45">
        <v>2716000</v>
      </c>
      <c r="M26" s="42"/>
      <c r="N26" s="45">
        <v>3405000</v>
      </c>
      <c r="O26" s="42"/>
      <c r="P26" s="45">
        <v>2039000</v>
      </c>
      <c r="Q26" s="42"/>
      <c r="R26" s="45">
        <v>0</v>
      </c>
    </row>
    <row r="27" spans="1:18" x14ac:dyDescent="0.2">
      <c r="A27" s="42"/>
      <c r="B27" s="42"/>
      <c r="C27" s="42" t="s">
        <v>18</v>
      </c>
      <c r="D27" s="42"/>
      <c r="E27" s="42"/>
      <c r="F27" s="45">
        <v>4838000</v>
      </c>
      <c r="G27" s="42"/>
      <c r="H27" s="45">
        <v>1334000</v>
      </c>
      <c r="I27" s="42"/>
      <c r="J27" s="45">
        <v>304000</v>
      </c>
      <c r="K27" s="42"/>
      <c r="L27" s="45">
        <v>3200000</v>
      </c>
      <c r="M27" s="42"/>
      <c r="N27" s="45">
        <v>2384000</v>
      </c>
      <c r="O27" s="42"/>
      <c r="P27" s="45">
        <v>2454000</v>
      </c>
      <c r="Q27" s="42"/>
      <c r="R27" s="45">
        <v>0</v>
      </c>
    </row>
    <row r="28" spans="1:18" x14ac:dyDescent="0.2">
      <c r="A28" s="42"/>
      <c r="B28" s="42"/>
      <c r="C28" s="42" t="s">
        <v>19</v>
      </c>
      <c r="D28" s="42"/>
      <c r="E28" s="42"/>
      <c r="F28" s="45">
        <v>5220000</v>
      </c>
      <c r="G28" s="42"/>
      <c r="H28" s="45">
        <v>1295000</v>
      </c>
      <c r="I28" s="42"/>
      <c r="J28" s="45">
        <v>335000</v>
      </c>
      <c r="K28" s="42"/>
      <c r="L28" s="45">
        <v>3590000</v>
      </c>
      <c r="M28" s="42"/>
      <c r="N28" s="45">
        <v>2220849.52</v>
      </c>
      <c r="O28" s="42"/>
      <c r="P28" s="45">
        <v>2999000</v>
      </c>
      <c r="Q28" s="42"/>
      <c r="R28" s="45">
        <v>0</v>
      </c>
    </row>
    <row r="29" spans="1:18" x14ac:dyDescent="0.2">
      <c r="A29" s="42"/>
      <c r="B29" s="42"/>
      <c r="C29" s="42" t="s">
        <v>20</v>
      </c>
      <c r="D29" s="42"/>
      <c r="E29" s="42"/>
      <c r="F29" s="45">
        <v>7086000</v>
      </c>
      <c r="G29" s="42"/>
      <c r="H29" s="45">
        <v>2748000</v>
      </c>
      <c r="I29" s="42"/>
      <c r="J29" s="45">
        <v>93000</v>
      </c>
      <c r="K29" s="42"/>
      <c r="L29" s="45">
        <v>4245000</v>
      </c>
      <c r="M29" s="42"/>
      <c r="N29" s="45">
        <v>4477000</v>
      </c>
      <c r="O29" s="42"/>
      <c r="P29" s="45">
        <v>2609000</v>
      </c>
      <c r="Q29" s="42"/>
      <c r="R29" s="45">
        <v>0</v>
      </c>
    </row>
    <row r="30" spans="1:18" x14ac:dyDescent="0.2">
      <c r="A30" s="42"/>
      <c r="B30" s="42"/>
      <c r="C30" s="42" t="s">
        <v>21</v>
      </c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</row>
    <row r="31" spans="1:18" x14ac:dyDescent="0.2">
      <c r="A31" s="42"/>
      <c r="B31" s="42"/>
      <c r="C31" s="42" t="s">
        <v>22</v>
      </c>
      <c r="D31" s="42"/>
      <c r="E31" s="42" t="s">
        <v>23</v>
      </c>
      <c r="F31" s="45">
        <v>1410000</v>
      </c>
      <c r="G31" s="42"/>
      <c r="H31" s="45">
        <v>920000</v>
      </c>
      <c r="I31" s="42"/>
      <c r="J31" s="45">
        <v>106000</v>
      </c>
      <c r="K31" s="42"/>
      <c r="L31" s="45">
        <v>384000</v>
      </c>
      <c r="M31" s="42"/>
      <c r="N31" s="45">
        <v>908000</v>
      </c>
      <c r="O31" s="42"/>
      <c r="P31" s="45">
        <v>502000</v>
      </c>
      <c r="Q31" s="42"/>
      <c r="R31" s="45">
        <v>0</v>
      </c>
    </row>
    <row r="32" spans="1:18" x14ac:dyDescent="0.2">
      <c r="A32" s="42"/>
      <c r="B32" s="42"/>
      <c r="C32" s="42" t="s">
        <v>27</v>
      </c>
      <c r="D32" s="42"/>
      <c r="E32" s="42"/>
      <c r="F32" s="45">
        <v>1000</v>
      </c>
      <c r="G32" s="42"/>
      <c r="H32" s="45">
        <v>0</v>
      </c>
      <c r="I32" s="42"/>
      <c r="J32" s="45">
        <v>0</v>
      </c>
      <c r="K32" s="42"/>
      <c r="L32" s="45">
        <v>1000</v>
      </c>
      <c r="M32" s="42"/>
      <c r="N32" s="45">
        <v>0</v>
      </c>
      <c r="O32" s="42"/>
      <c r="P32" s="45">
        <v>1000</v>
      </c>
      <c r="Q32" s="42"/>
      <c r="R32" s="45">
        <v>0</v>
      </c>
    </row>
    <row r="33" spans="1:18" x14ac:dyDescent="0.2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</row>
    <row r="34" spans="1:18" x14ac:dyDescent="0.2">
      <c r="A34" s="42"/>
      <c r="B34" s="42"/>
      <c r="C34" s="42"/>
      <c r="D34" s="42"/>
      <c r="E34" s="42" t="s">
        <v>3</v>
      </c>
      <c r="F34" s="43">
        <v>41266000</v>
      </c>
      <c r="G34" s="42"/>
      <c r="H34" s="43">
        <v>16292000</v>
      </c>
      <c r="I34" s="42"/>
      <c r="J34" s="43">
        <v>2073000</v>
      </c>
      <c r="K34" s="42"/>
      <c r="L34" s="43">
        <v>22901000</v>
      </c>
      <c r="M34" s="42"/>
      <c r="N34" s="43">
        <v>23286849.52</v>
      </c>
      <c r="O34" s="42"/>
      <c r="P34" s="43">
        <v>18337000</v>
      </c>
      <c r="Q34" s="42"/>
      <c r="R34" s="43">
        <v>358000</v>
      </c>
    </row>
    <row r="35" spans="1:18" x14ac:dyDescent="0.2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</row>
    <row r="36" spans="1:18" x14ac:dyDescent="0.2">
      <c r="A36" s="42"/>
      <c r="B36" s="42" t="s">
        <v>28</v>
      </c>
      <c r="C36" s="42"/>
      <c r="D36" s="42"/>
      <c r="E36" s="42"/>
      <c r="F36" s="43">
        <v>59000</v>
      </c>
      <c r="G36" s="42"/>
      <c r="H36" s="43">
        <v>0</v>
      </c>
      <c r="I36" s="42"/>
      <c r="J36" s="43">
        <v>9000</v>
      </c>
      <c r="K36" s="42"/>
      <c r="L36" s="43">
        <v>50000</v>
      </c>
      <c r="M36" s="42"/>
      <c r="N36" s="43">
        <v>33000</v>
      </c>
      <c r="O36" s="42"/>
      <c r="P36" s="43">
        <v>26000</v>
      </c>
      <c r="Q36" s="42"/>
      <c r="R36" s="43">
        <v>0</v>
      </c>
    </row>
    <row r="37" spans="1:18" x14ac:dyDescent="0.2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</row>
    <row r="38" spans="1:18" x14ac:dyDescent="0.2">
      <c r="A38" s="42"/>
      <c r="B38" s="42" t="s">
        <v>29</v>
      </c>
      <c r="C38" s="42"/>
      <c r="D38" s="42"/>
      <c r="E38" s="42"/>
      <c r="F38" s="43">
        <v>0</v>
      </c>
      <c r="G38" s="42"/>
      <c r="H38" s="43">
        <v>0</v>
      </c>
      <c r="I38" s="42"/>
      <c r="J38" s="43">
        <v>0</v>
      </c>
      <c r="K38" s="42"/>
      <c r="L38" s="43">
        <v>0</v>
      </c>
      <c r="M38" s="42"/>
      <c r="N38" s="43">
        <v>0</v>
      </c>
      <c r="O38" s="42"/>
      <c r="P38" s="43">
        <v>0</v>
      </c>
      <c r="Q38" s="42"/>
      <c r="R38" s="43">
        <v>0</v>
      </c>
    </row>
    <row r="39" spans="1:18" x14ac:dyDescent="0.2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</row>
    <row r="40" spans="1:18" x14ac:dyDescent="0.2">
      <c r="A40" s="42"/>
      <c r="B40" s="42"/>
      <c r="C40" s="42"/>
      <c r="D40" s="42"/>
      <c r="E40" s="42" t="s">
        <v>30</v>
      </c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</row>
    <row r="41" spans="1:18" x14ac:dyDescent="0.2">
      <c r="A41" s="42"/>
      <c r="B41" s="42"/>
      <c r="C41" s="42"/>
      <c r="D41" s="42"/>
      <c r="E41" s="42" t="s">
        <v>31</v>
      </c>
      <c r="F41" s="43">
        <v>41660000</v>
      </c>
      <c r="G41" s="42"/>
      <c r="H41" s="43">
        <v>16374000</v>
      </c>
      <c r="I41" s="42"/>
      <c r="J41" s="43">
        <v>2147000</v>
      </c>
      <c r="K41" s="42"/>
      <c r="L41" s="43">
        <v>23139000</v>
      </c>
      <c r="M41" s="42"/>
      <c r="N41" s="43">
        <v>23473849.52</v>
      </c>
      <c r="O41" s="42"/>
      <c r="P41" s="43">
        <v>18545000</v>
      </c>
      <c r="Q41" s="42"/>
      <c r="R41" s="43">
        <v>359000</v>
      </c>
    </row>
    <row r="42" spans="1:18" x14ac:dyDescent="0.2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</row>
    <row r="43" spans="1:18" x14ac:dyDescent="0.2">
      <c r="A43" s="44" t="s">
        <v>32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</row>
    <row r="44" spans="1:18" x14ac:dyDescent="0.2">
      <c r="A44" s="42"/>
      <c r="B44" s="44" t="s">
        <v>33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</row>
    <row r="45" spans="1:18" x14ac:dyDescent="0.2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</row>
    <row r="46" spans="1:18" x14ac:dyDescent="0.2">
      <c r="A46" s="42"/>
      <c r="B46" s="42" t="s">
        <v>13</v>
      </c>
      <c r="C46" s="42"/>
      <c r="D46" s="42"/>
      <c r="E46" s="42"/>
      <c r="F46" s="43">
        <v>76294000</v>
      </c>
      <c r="G46" s="42"/>
      <c r="H46" s="43">
        <v>24159000</v>
      </c>
      <c r="I46" s="42"/>
      <c r="J46" s="43">
        <v>40234000</v>
      </c>
      <c r="K46" s="42"/>
      <c r="L46" s="43">
        <v>11901000</v>
      </c>
      <c r="M46" s="42"/>
      <c r="N46" s="43">
        <v>45062000</v>
      </c>
      <c r="O46" s="42"/>
      <c r="P46" s="43">
        <v>31244000</v>
      </c>
      <c r="Q46" s="42"/>
      <c r="R46" s="43">
        <v>12000</v>
      </c>
    </row>
    <row r="47" spans="1:18" x14ac:dyDescent="0.2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</row>
    <row r="48" spans="1:18" x14ac:dyDescent="0.2">
      <c r="A48" s="42"/>
      <c r="B48" s="42" t="s">
        <v>24</v>
      </c>
      <c r="C48" s="42"/>
      <c r="D48" s="42"/>
      <c r="E48" s="42"/>
      <c r="F48" s="43">
        <v>3435000</v>
      </c>
      <c r="G48" s="42"/>
      <c r="H48" s="43">
        <v>6000</v>
      </c>
      <c r="I48" s="42"/>
      <c r="J48" s="43">
        <v>113000</v>
      </c>
      <c r="K48" s="42"/>
      <c r="L48" s="43">
        <v>3316000</v>
      </c>
      <c r="M48" s="42"/>
      <c r="N48" s="43">
        <v>1137000</v>
      </c>
      <c r="O48" s="42"/>
      <c r="P48" s="43">
        <v>2324000</v>
      </c>
      <c r="Q48" s="42"/>
      <c r="R48" s="43">
        <v>26000</v>
      </c>
    </row>
    <row r="49" spans="1:18" x14ac:dyDescent="0.2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</row>
    <row r="50" spans="1:18" x14ac:dyDescent="0.2">
      <c r="A50" s="42"/>
      <c r="B50" s="42" t="s">
        <v>28</v>
      </c>
      <c r="C50" s="42"/>
      <c r="D50" s="42"/>
      <c r="E50" s="42"/>
      <c r="F50" s="43">
        <v>1066000</v>
      </c>
      <c r="G50" s="42"/>
      <c r="H50" s="43">
        <v>0</v>
      </c>
      <c r="I50" s="42"/>
      <c r="J50" s="43">
        <v>641000</v>
      </c>
      <c r="K50" s="42"/>
      <c r="L50" s="43">
        <v>425000</v>
      </c>
      <c r="M50" s="42"/>
      <c r="N50" s="43">
        <v>414000</v>
      </c>
      <c r="O50" s="42"/>
      <c r="P50" s="43">
        <v>652000</v>
      </c>
      <c r="Q50" s="42"/>
      <c r="R50" s="43">
        <v>0</v>
      </c>
    </row>
    <row r="51" spans="1:18" x14ac:dyDescent="0.2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</row>
    <row r="52" spans="1:18" x14ac:dyDescent="0.2">
      <c r="A52" s="42"/>
      <c r="B52" s="42" t="s">
        <v>29</v>
      </c>
      <c r="C52" s="42"/>
      <c r="D52" s="42"/>
      <c r="E52" s="42"/>
      <c r="F52" s="43">
        <v>19183000</v>
      </c>
      <c r="G52" s="42"/>
      <c r="H52" s="43">
        <v>115000</v>
      </c>
      <c r="I52" s="42"/>
      <c r="J52" s="43">
        <v>15877000</v>
      </c>
      <c r="K52" s="42"/>
      <c r="L52" s="43">
        <v>3191000</v>
      </c>
      <c r="M52" s="42"/>
      <c r="N52" s="43">
        <v>9836000</v>
      </c>
      <c r="O52" s="42"/>
      <c r="P52" s="43">
        <v>9425000</v>
      </c>
      <c r="Q52" s="42"/>
      <c r="R52" s="43">
        <v>78000</v>
      </c>
    </row>
    <row r="53" spans="1:18" x14ac:dyDescent="0.2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</row>
    <row r="54" spans="1:18" x14ac:dyDescent="0.2">
      <c r="A54" s="42"/>
      <c r="B54" s="42"/>
      <c r="C54" s="42"/>
      <c r="D54" s="42"/>
      <c r="E54" s="42" t="s">
        <v>34</v>
      </c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</row>
    <row r="55" spans="1:18" x14ac:dyDescent="0.2">
      <c r="A55" s="42"/>
      <c r="B55" s="42"/>
      <c r="C55" s="42"/>
      <c r="D55" s="42"/>
      <c r="E55" s="42" t="s">
        <v>35</v>
      </c>
      <c r="F55" s="43">
        <v>99978000</v>
      </c>
      <c r="G55" s="42">
        <v>0</v>
      </c>
      <c r="H55" s="43">
        <v>24280000</v>
      </c>
      <c r="I55" s="42"/>
      <c r="J55" s="43">
        <v>56865000</v>
      </c>
      <c r="K55" s="42"/>
      <c r="L55" s="43">
        <v>18833000</v>
      </c>
      <c r="M55" s="42"/>
      <c r="N55" s="43">
        <v>56449000</v>
      </c>
      <c r="O55" s="42"/>
      <c r="P55" s="43">
        <v>43645000</v>
      </c>
      <c r="Q55" s="42">
        <v>0</v>
      </c>
      <c r="R55" s="43">
        <v>116000</v>
      </c>
    </row>
    <row r="56" spans="1:18" x14ac:dyDescent="0.2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</row>
    <row r="57" spans="1:18" x14ac:dyDescent="0.2">
      <c r="A57" s="44" t="s">
        <v>36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</row>
    <row r="58" spans="1:18" x14ac:dyDescent="0.2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</row>
    <row r="59" spans="1:18" x14ac:dyDescent="0.2">
      <c r="A59" s="42"/>
      <c r="B59" s="42" t="s">
        <v>13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</row>
    <row r="60" spans="1:18" x14ac:dyDescent="0.2">
      <c r="A60" s="42"/>
      <c r="B60" s="42"/>
      <c r="C60" s="42" t="s">
        <v>37</v>
      </c>
      <c r="D60" s="42"/>
      <c r="E60" s="42"/>
      <c r="F60" s="45">
        <v>7602000</v>
      </c>
      <c r="G60" s="42"/>
      <c r="H60" s="45">
        <v>5667000</v>
      </c>
      <c r="I60" s="42"/>
      <c r="J60" s="45">
        <v>948000</v>
      </c>
      <c r="K60" s="42"/>
      <c r="L60" s="45">
        <v>987000</v>
      </c>
      <c r="M60" s="42"/>
      <c r="N60" s="45">
        <v>4699000</v>
      </c>
      <c r="O60" s="42"/>
      <c r="P60" s="45">
        <v>2903000</v>
      </c>
      <c r="Q60" s="42"/>
      <c r="R60" s="45">
        <v>0</v>
      </c>
    </row>
    <row r="61" spans="1:18" x14ac:dyDescent="0.2">
      <c r="A61" s="42"/>
      <c r="B61" s="42"/>
      <c r="C61" s="42" t="s">
        <v>38</v>
      </c>
      <c r="D61" s="42"/>
      <c r="E61" s="42"/>
      <c r="F61" s="45">
        <v>19972000</v>
      </c>
      <c r="G61" s="42"/>
      <c r="H61" s="45">
        <v>15508000</v>
      </c>
      <c r="I61" s="42"/>
      <c r="J61" s="45">
        <v>2252000</v>
      </c>
      <c r="K61" s="42"/>
      <c r="L61" s="45">
        <v>2212000</v>
      </c>
      <c r="M61" s="42"/>
      <c r="N61" s="45">
        <v>12282000</v>
      </c>
      <c r="O61" s="42"/>
      <c r="P61" s="45">
        <v>7690000</v>
      </c>
      <c r="Q61" s="42"/>
      <c r="R61" s="45">
        <v>0</v>
      </c>
    </row>
    <row r="62" spans="1:18" x14ac:dyDescent="0.2">
      <c r="A62" s="42"/>
      <c r="B62" s="42"/>
      <c r="C62" s="42" t="s">
        <v>39</v>
      </c>
      <c r="D62" s="42"/>
      <c r="E62" s="42"/>
      <c r="F62" s="43">
        <v>7069000</v>
      </c>
      <c r="G62" s="42"/>
      <c r="H62" s="43">
        <v>4964000</v>
      </c>
      <c r="I62" s="42"/>
      <c r="J62" s="43">
        <v>798000</v>
      </c>
      <c r="K62" s="42"/>
      <c r="L62" s="43">
        <v>1307000</v>
      </c>
      <c r="M62" s="42"/>
      <c r="N62" s="43">
        <v>3307000</v>
      </c>
      <c r="O62" s="42"/>
      <c r="P62" s="43">
        <v>3762000</v>
      </c>
      <c r="Q62" s="42"/>
      <c r="R62" s="43">
        <v>0</v>
      </c>
    </row>
    <row r="63" spans="1:18" x14ac:dyDescent="0.2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</row>
    <row r="64" spans="1:18" x14ac:dyDescent="0.2">
      <c r="A64" s="42"/>
      <c r="B64" s="42"/>
      <c r="C64" s="42"/>
      <c r="D64" s="42"/>
      <c r="E64" s="42" t="s">
        <v>3</v>
      </c>
      <c r="F64" s="43">
        <v>34643000</v>
      </c>
      <c r="G64" s="42"/>
      <c r="H64" s="43">
        <v>26139000</v>
      </c>
      <c r="I64" s="42"/>
      <c r="J64" s="43">
        <v>3998000</v>
      </c>
      <c r="K64" s="42"/>
      <c r="L64" s="43">
        <v>4506000</v>
      </c>
      <c r="M64" s="42"/>
      <c r="N64" s="43">
        <v>20288000</v>
      </c>
      <c r="O64" s="42"/>
      <c r="P64" s="43">
        <v>14355000</v>
      </c>
      <c r="Q64" s="42"/>
      <c r="R64" s="43">
        <v>0</v>
      </c>
    </row>
    <row r="65" spans="1:18" x14ac:dyDescent="0.2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</row>
    <row r="66" spans="1:18" x14ac:dyDescent="0.2">
      <c r="A66" s="42"/>
      <c r="B66" s="42" t="s">
        <v>24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</row>
    <row r="67" spans="1:18" x14ac:dyDescent="0.2">
      <c r="A67" s="42"/>
      <c r="B67" s="42"/>
      <c r="C67" s="42" t="s">
        <v>37</v>
      </c>
      <c r="D67" s="42"/>
      <c r="E67" s="42"/>
      <c r="F67" s="45">
        <v>3864000</v>
      </c>
      <c r="G67" s="42"/>
      <c r="H67" s="45">
        <v>-75000</v>
      </c>
      <c r="I67" s="42"/>
      <c r="J67" s="45">
        <v>94000</v>
      </c>
      <c r="K67" s="42"/>
      <c r="L67" s="45">
        <v>3845000</v>
      </c>
      <c r="M67" s="42"/>
      <c r="N67" s="45">
        <v>1928000</v>
      </c>
      <c r="O67" s="42"/>
      <c r="P67" s="45">
        <v>1936000</v>
      </c>
      <c r="Q67" s="42"/>
      <c r="R67" s="45">
        <v>0</v>
      </c>
    </row>
    <row r="68" spans="1:18" x14ac:dyDescent="0.2">
      <c r="A68" s="42"/>
      <c r="B68" s="42"/>
      <c r="C68" s="42" t="s">
        <v>38</v>
      </c>
      <c r="D68" s="42"/>
      <c r="E68" s="42"/>
      <c r="F68" s="45">
        <v>21904000</v>
      </c>
      <c r="G68" s="42"/>
      <c r="H68" s="45">
        <v>455000</v>
      </c>
      <c r="I68" s="42"/>
      <c r="J68" s="45">
        <v>724000</v>
      </c>
      <c r="K68" s="42"/>
      <c r="L68" s="45">
        <v>20725000</v>
      </c>
      <c r="M68" s="42"/>
      <c r="N68" s="45">
        <v>9379000</v>
      </c>
      <c r="O68" s="42"/>
      <c r="P68" s="45">
        <v>12525000</v>
      </c>
      <c r="Q68" s="42"/>
      <c r="R68" s="45">
        <v>0</v>
      </c>
    </row>
    <row r="69" spans="1:18" x14ac:dyDescent="0.2">
      <c r="A69" s="42"/>
      <c r="B69" s="42"/>
      <c r="C69" s="42" t="s">
        <v>39</v>
      </c>
      <c r="D69" s="42"/>
      <c r="E69" s="42"/>
      <c r="F69" s="43">
        <v>259000</v>
      </c>
      <c r="G69" s="42"/>
      <c r="H69" s="43">
        <v>2000</v>
      </c>
      <c r="I69" s="42"/>
      <c r="J69" s="43">
        <v>0</v>
      </c>
      <c r="K69" s="42"/>
      <c r="L69" s="43">
        <v>257000</v>
      </c>
      <c r="M69" s="42"/>
      <c r="N69" s="43">
        <v>0</v>
      </c>
      <c r="O69" s="42"/>
      <c r="P69" s="43">
        <v>259000</v>
      </c>
      <c r="Q69" s="42"/>
      <c r="R69" s="43">
        <v>0</v>
      </c>
    </row>
    <row r="70" spans="1:18" x14ac:dyDescent="0.2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</row>
    <row r="71" spans="1:18" x14ac:dyDescent="0.2">
      <c r="A71" s="42"/>
      <c r="B71" s="42"/>
      <c r="C71" s="42"/>
      <c r="D71" s="42"/>
      <c r="E71" s="42" t="s">
        <v>3</v>
      </c>
      <c r="F71" s="43">
        <v>26027000</v>
      </c>
      <c r="G71" s="42"/>
      <c r="H71" s="43">
        <v>382000</v>
      </c>
      <c r="I71" s="42"/>
      <c r="J71" s="43">
        <v>818000</v>
      </c>
      <c r="K71" s="42"/>
      <c r="L71" s="43">
        <v>24827000</v>
      </c>
      <c r="M71" s="42"/>
      <c r="N71" s="43">
        <v>11307000</v>
      </c>
      <c r="O71" s="42"/>
      <c r="P71" s="43">
        <v>14720000</v>
      </c>
      <c r="Q71" s="42"/>
      <c r="R71" s="43">
        <v>0</v>
      </c>
    </row>
    <row r="72" spans="1:18" x14ac:dyDescent="0.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</row>
    <row r="73" spans="1:18" x14ac:dyDescent="0.2">
      <c r="A73" s="42"/>
      <c r="B73" s="42" t="s">
        <v>28</v>
      </c>
      <c r="C73" s="42"/>
      <c r="D73" s="42"/>
      <c r="E73" s="42"/>
      <c r="F73" s="43">
        <v>0</v>
      </c>
      <c r="G73" s="42"/>
      <c r="H73" s="43">
        <v>0</v>
      </c>
      <c r="I73" s="42"/>
      <c r="J73" s="43">
        <v>0</v>
      </c>
      <c r="K73" s="42"/>
      <c r="L73" s="43">
        <v>0</v>
      </c>
      <c r="M73" s="42"/>
      <c r="N73" s="43">
        <v>0</v>
      </c>
      <c r="O73" s="42"/>
      <c r="P73" s="43">
        <v>0</v>
      </c>
      <c r="Q73" s="42"/>
      <c r="R73" s="43">
        <v>0</v>
      </c>
    </row>
    <row r="74" spans="1:18" x14ac:dyDescent="0.2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</row>
    <row r="75" spans="1:18" x14ac:dyDescent="0.2">
      <c r="A75" s="42"/>
      <c r="B75" s="42" t="s">
        <v>29</v>
      </c>
      <c r="C75" s="42"/>
      <c r="D75" s="42"/>
      <c r="E75" s="42"/>
      <c r="F75" s="43">
        <v>112000</v>
      </c>
      <c r="G75" s="42"/>
      <c r="H75" s="43">
        <v>25000</v>
      </c>
      <c r="I75" s="42"/>
      <c r="J75" s="43">
        <v>87000</v>
      </c>
      <c r="K75" s="42"/>
      <c r="L75" s="43">
        <v>0</v>
      </c>
      <c r="M75" s="42"/>
      <c r="N75" s="43">
        <v>2174000</v>
      </c>
      <c r="O75" s="42"/>
      <c r="P75" s="43">
        <v>2218000</v>
      </c>
      <c r="Q75" s="42"/>
      <c r="R75" s="43">
        <v>4280000</v>
      </c>
    </row>
    <row r="76" spans="1:18" x14ac:dyDescent="0.2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</row>
    <row r="77" spans="1:18" x14ac:dyDescent="0.2">
      <c r="A77" s="42"/>
      <c r="B77" s="42"/>
      <c r="C77" s="42"/>
      <c r="D77" s="42"/>
      <c r="E77" s="42" t="s">
        <v>40</v>
      </c>
      <c r="F77" s="43">
        <v>60782000</v>
      </c>
      <c r="G77" s="42"/>
      <c r="H77" s="43">
        <v>26546000</v>
      </c>
      <c r="I77" s="42"/>
      <c r="J77" s="43">
        <v>4903000</v>
      </c>
      <c r="K77" s="42"/>
      <c r="L77" s="43">
        <v>29333000</v>
      </c>
      <c r="M77" s="42"/>
      <c r="N77" s="43">
        <v>33769000</v>
      </c>
      <c r="O77" s="42"/>
      <c r="P77" s="43">
        <v>31293000</v>
      </c>
      <c r="Q77" s="42"/>
      <c r="R77" s="43">
        <v>4280000</v>
      </c>
    </row>
    <row r="78" spans="1:18" x14ac:dyDescent="0.2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</row>
    <row r="79" spans="1:18" x14ac:dyDescent="0.2">
      <c r="A79" s="44" t="s">
        <v>41</v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</row>
    <row r="80" spans="1:18" x14ac:dyDescent="0.2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</row>
    <row r="81" spans="1:18" x14ac:dyDescent="0.2">
      <c r="A81" s="42"/>
      <c r="B81" s="42" t="s">
        <v>13</v>
      </c>
      <c r="C81" s="42"/>
      <c r="D81" s="42"/>
      <c r="E81" s="42"/>
      <c r="F81" s="43">
        <v>13820000</v>
      </c>
      <c r="G81" s="42"/>
      <c r="H81" s="43">
        <v>11919000</v>
      </c>
      <c r="I81" s="42"/>
      <c r="J81" s="43">
        <v>1254000</v>
      </c>
      <c r="K81" s="42"/>
      <c r="L81" s="43">
        <v>647000</v>
      </c>
      <c r="M81" s="42"/>
      <c r="N81" s="43">
        <v>9225000</v>
      </c>
      <c r="O81" s="42"/>
      <c r="P81" s="43">
        <v>4595000</v>
      </c>
      <c r="Q81" s="42"/>
      <c r="R81" s="43">
        <v>0</v>
      </c>
    </row>
    <row r="82" spans="1:18" x14ac:dyDescent="0.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</row>
    <row r="83" spans="1:18" x14ac:dyDescent="0.2">
      <c r="A83" s="42"/>
      <c r="B83" s="42" t="s">
        <v>24</v>
      </c>
      <c r="C83" s="42"/>
      <c r="D83" s="42"/>
      <c r="E83" s="42"/>
      <c r="F83" s="43">
        <v>6960000</v>
      </c>
      <c r="G83" s="42"/>
      <c r="H83" s="43">
        <v>-104000</v>
      </c>
      <c r="I83" s="42"/>
      <c r="J83" s="43">
        <v>49000</v>
      </c>
      <c r="K83" s="42"/>
      <c r="L83" s="43">
        <v>7015000</v>
      </c>
      <c r="M83" s="42"/>
      <c r="N83" s="43">
        <v>2945000</v>
      </c>
      <c r="O83" s="42"/>
      <c r="P83" s="43">
        <v>4015000</v>
      </c>
      <c r="Q83" s="42"/>
      <c r="R83" s="43">
        <v>0</v>
      </c>
    </row>
    <row r="84" spans="1:18" x14ac:dyDescent="0.2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</row>
    <row r="85" spans="1:18" x14ac:dyDescent="0.2">
      <c r="A85" s="42"/>
      <c r="B85" s="42" t="s">
        <v>28</v>
      </c>
      <c r="C85" s="42"/>
      <c r="D85" s="42"/>
      <c r="E85" s="42"/>
      <c r="F85" s="43">
        <v>4273000</v>
      </c>
      <c r="G85" s="42"/>
      <c r="H85" s="43">
        <v>804000</v>
      </c>
      <c r="I85" s="42"/>
      <c r="J85" s="43">
        <v>2639000</v>
      </c>
      <c r="K85" s="42"/>
      <c r="L85" s="43">
        <v>830000</v>
      </c>
      <c r="M85" s="42"/>
      <c r="N85" s="43">
        <v>2665000</v>
      </c>
      <c r="O85" s="42"/>
      <c r="P85" s="43">
        <v>1608000</v>
      </c>
      <c r="Q85" s="42"/>
      <c r="R85" s="43">
        <v>0</v>
      </c>
    </row>
    <row r="86" spans="1:18" x14ac:dyDescent="0.2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</row>
    <row r="87" spans="1:18" x14ac:dyDescent="0.2">
      <c r="A87" s="42"/>
      <c r="B87" s="42" t="s">
        <v>29</v>
      </c>
      <c r="C87" s="42"/>
      <c r="D87" s="42"/>
      <c r="E87" s="42"/>
      <c r="F87" s="43">
        <v>184000</v>
      </c>
      <c r="G87" s="42"/>
      <c r="H87" s="43">
        <v>184000</v>
      </c>
      <c r="I87" s="42"/>
      <c r="J87" s="43">
        <v>0</v>
      </c>
      <c r="K87" s="42"/>
      <c r="L87" s="43">
        <v>0</v>
      </c>
      <c r="M87" s="42"/>
      <c r="N87" s="43">
        <v>124000</v>
      </c>
      <c r="O87" s="42"/>
      <c r="P87" s="43">
        <v>60000</v>
      </c>
      <c r="Q87" s="42"/>
      <c r="R87" s="43">
        <v>0</v>
      </c>
    </row>
    <row r="88" spans="1:18" x14ac:dyDescent="0.2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</row>
    <row r="89" spans="1:18" x14ac:dyDescent="0.2">
      <c r="A89" s="42"/>
      <c r="B89" s="42"/>
      <c r="C89" s="42"/>
      <c r="D89" s="42"/>
      <c r="E89" s="42" t="s">
        <v>42</v>
      </c>
      <c r="F89" s="43">
        <v>25237000</v>
      </c>
      <c r="G89" s="42"/>
      <c r="H89" s="43">
        <v>12803000</v>
      </c>
      <c r="I89" s="42"/>
      <c r="J89" s="43">
        <v>3942000</v>
      </c>
      <c r="K89" s="42"/>
      <c r="L89" s="43">
        <v>8492000</v>
      </c>
      <c r="M89" s="42"/>
      <c r="N89" s="43">
        <v>14959000</v>
      </c>
      <c r="O89" s="42"/>
      <c r="P89" s="43">
        <v>10278000</v>
      </c>
      <c r="Q89" s="42"/>
      <c r="R89" s="43">
        <v>0</v>
      </c>
    </row>
    <row r="90" spans="1:18" x14ac:dyDescent="0.2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</row>
    <row r="91" spans="1:18" x14ac:dyDescent="0.2">
      <c r="A91" s="44" t="s">
        <v>43</v>
      </c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</row>
    <row r="92" spans="1:18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</row>
    <row r="93" spans="1:18" x14ac:dyDescent="0.2">
      <c r="A93" s="42"/>
      <c r="B93" s="42" t="s">
        <v>13</v>
      </c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</row>
    <row r="94" spans="1:18" x14ac:dyDescent="0.2">
      <c r="A94" s="42"/>
      <c r="B94" s="42"/>
      <c r="C94" s="42" t="s">
        <v>44</v>
      </c>
      <c r="D94" s="42"/>
      <c r="E94" s="42"/>
      <c r="F94" s="45">
        <v>6555000</v>
      </c>
      <c r="G94" s="42"/>
      <c r="H94" s="45">
        <v>5484000</v>
      </c>
      <c r="I94" s="42"/>
      <c r="J94" s="45">
        <v>642000</v>
      </c>
      <c r="K94" s="42"/>
      <c r="L94" s="45">
        <v>429000</v>
      </c>
      <c r="M94" s="42"/>
      <c r="N94" s="45">
        <v>3852000</v>
      </c>
      <c r="O94" s="42"/>
      <c r="P94" s="45">
        <v>2703000</v>
      </c>
      <c r="Q94" s="42"/>
      <c r="R94" s="45">
        <v>0</v>
      </c>
    </row>
    <row r="95" spans="1:18" x14ac:dyDescent="0.2">
      <c r="A95" s="42"/>
      <c r="B95" s="42"/>
      <c r="C95" s="42" t="s">
        <v>45</v>
      </c>
      <c r="D95" s="42"/>
      <c r="E95" s="42"/>
      <c r="F95" s="45">
        <v>14333000</v>
      </c>
      <c r="G95" s="42"/>
      <c r="H95" s="45">
        <v>11819000</v>
      </c>
      <c r="I95" s="42"/>
      <c r="J95" s="45">
        <v>1461000</v>
      </c>
      <c r="K95" s="42"/>
      <c r="L95" s="45">
        <v>1053000</v>
      </c>
      <c r="M95" s="42"/>
      <c r="N95" s="45">
        <v>8943000</v>
      </c>
      <c r="O95" s="42"/>
      <c r="P95" s="45">
        <v>5390000</v>
      </c>
      <c r="Q95" s="42"/>
      <c r="R95" s="45">
        <v>0</v>
      </c>
    </row>
    <row r="96" spans="1:18" x14ac:dyDescent="0.2">
      <c r="A96" s="42"/>
      <c r="B96" s="42"/>
      <c r="C96" s="42" t="s">
        <v>39</v>
      </c>
      <c r="D96" s="42"/>
      <c r="E96" s="42"/>
      <c r="F96" s="45">
        <v>13569000</v>
      </c>
      <c r="G96" s="42"/>
      <c r="H96" s="45">
        <v>4842000</v>
      </c>
      <c r="I96" s="42"/>
      <c r="J96" s="45">
        <v>4173000</v>
      </c>
      <c r="K96" s="42"/>
      <c r="L96" s="45">
        <v>4554000</v>
      </c>
      <c r="M96" s="42"/>
      <c r="N96" s="45">
        <v>7200000</v>
      </c>
      <c r="O96" s="42"/>
      <c r="P96" s="45">
        <v>6412000</v>
      </c>
      <c r="Q96" s="42"/>
      <c r="R96" s="45">
        <v>43000</v>
      </c>
    </row>
    <row r="97" spans="1:18" x14ac:dyDescent="0.2">
      <c r="A97" s="42"/>
      <c r="B97" s="42"/>
      <c r="C97" s="42" t="s">
        <v>46</v>
      </c>
      <c r="D97" s="42"/>
      <c r="E97" s="42"/>
      <c r="F97" s="45">
        <v>5000</v>
      </c>
      <c r="G97" s="42"/>
      <c r="H97" s="45">
        <v>0</v>
      </c>
      <c r="I97" s="42"/>
      <c r="J97" s="45">
        <v>4000</v>
      </c>
      <c r="K97" s="42"/>
      <c r="L97" s="45">
        <v>1000</v>
      </c>
      <c r="M97" s="42"/>
      <c r="N97" s="45">
        <v>0</v>
      </c>
      <c r="O97" s="42"/>
      <c r="P97" s="45">
        <v>5000</v>
      </c>
      <c r="Q97" s="42"/>
      <c r="R97" s="45">
        <v>0</v>
      </c>
    </row>
    <row r="98" spans="1:18" x14ac:dyDescent="0.2">
      <c r="A98" s="42"/>
      <c r="B98" s="42"/>
      <c r="C98" s="42" t="s">
        <v>47</v>
      </c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</row>
    <row r="99" spans="1:18" x14ac:dyDescent="0.2">
      <c r="A99" s="42"/>
      <c r="B99" s="42"/>
      <c r="C99" s="42"/>
      <c r="D99" s="42"/>
      <c r="E99" s="42" t="s">
        <v>48</v>
      </c>
      <c r="F99" s="45">
        <v>34781000</v>
      </c>
      <c r="G99" s="42"/>
      <c r="H99" s="45">
        <v>26866000</v>
      </c>
      <c r="I99" s="42"/>
      <c r="J99" s="45">
        <v>4012000</v>
      </c>
      <c r="K99" s="42"/>
      <c r="L99" s="45">
        <v>3903000</v>
      </c>
      <c r="M99" s="42"/>
      <c r="N99" s="45">
        <v>22491000</v>
      </c>
      <c r="O99" s="42"/>
      <c r="P99" s="45">
        <v>12289000</v>
      </c>
      <c r="Q99" s="42"/>
      <c r="R99" s="45">
        <v>-1000</v>
      </c>
    </row>
    <row r="100" spans="1:18" x14ac:dyDescent="0.2">
      <c r="A100" s="42"/>
      <c r="B100" s="42"/>
      <c r="C100" s="42" t="s">
        <v>49</v>
      </c>
      <c r="D100" s="42"/>
      <c r="E100" s="42"/>
      <c r="F100" s="45">
        <v>63000</v>
      </c>
      <c r="G100" s="42"/>
      <c r="H100" s="45">
        <v>0</v>
      </c>
      <c r="I100" s="42"/>
      <c r="J100" s="45">
        <v>31000</v>
      </c>
      <c r="K100" s="42"/>
      <c r="L100" s="45">
        <v>32000</v>
      </c>
      <c r="M100" s="42"/>
      <c r="N100" s="45">
        <v>18000</v>
      </c>
      <c r="O100" s="42"/>
      <c r="P100" s="45">
        <v>45000</v>
      </c>
      <c r="Q100" s="42"/>
      <c r="R100" s="45">
        <v>0</v>
      </c>
    </row>
    <row r="101" spans="1:18" x14ac:dyDescent="0.2">
      <c r="A101" s="42"/>
      <c r="B101" s="42"/>
      <c r="C101" s="42" t="s">
        <v>50</v>
      </c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</row>
    <row r="102" spans="1:18" x14ac:dyDescent="0.2">
      <c r="A102" s="42"/>
      <c r="B102" s="42"/>
      <c r="C102" s="42"/>
      <c r="D102" s="42"/>
      <c r="E102" s="42" t="s">
        <v>51</v>
      </c>
      <c r="F102" s="45">
        <v>6772000</v>
      </c>
      <c r="G102" s="42"/>
      <c r="H102" s="45">
        <v>4686000</v>
      </c>
      <c r="I102" s="42"/>
      <c r="J102" s="45">
        <v>1226000</v>
      </c>
      <c r="K102" s="42"/>
      <c r="L102" s="45">
        <v>860000</v>
      </c>
      <c r="M102" s="42"/>
      <c r="N102" s="45">
        <v>4500000</v>
      </c>
      <c r="O102" s="42"/>
      <c r="P102" s="45">
        <v>2272000</v>
      </c>
      <c r="Q102" s="42"/>
      <c r="R102" s="45">
        <v>0</v>
      </c>
    </row>
    <row r="103" spans="1:18" x14ac:dyDescent="0.2">
      <c r="A103" s="42"/>
      <c r="B103" s="42"/>
      <c r="C103" s="42" t="s">
        <v>52</v>
      </c>
      <c r="D103" s="42"/>
      <c r="E103" s="42"/>
      <c r="F103" s="45">
        <v>1000</v>
      </c>
      <c r="G103" s="42"/>
      <c r="H103" s="45">
        <v>0</v>
      </c>
      <c r="I103" s="42"/>
      <c r="J103" s="45">
        <v>0</v>
      </c>
      <c r="K103" s="42"/>
      <c r="L103" s="45">
        <v>1000</v>
      </c>
      <c r="M103" s="42"/>
      <c r="N103" s="45">
        <v>0</v>
      </c>
      <c r="O103" s="42"/>
      <c r="P103" s="45">
        <v>1000</v>
      </c>
      <c r="Q103" s="42"/>
      <c r="R103" s="45">
        <v>0</v>
      </c>
    </row>
    <row r="104" spans="1:18" x14ac:dyDescent="0.2">
      <c r="A104" s="42"/>
      <c r="B104" s="42"/>
      <c r="C104" s="42" t="s">
        <v>53</v>
      </c>
      <c r="D104" s="42"/>
      <c r="E104" s="42"/>
      <c r="F104" s="45">
        <v>4713000</v>
      </c>
      <c r="G104" s="42"/>
      <c r="H104" s="45">
        <v>4013000</v>
      </c>
      <c r="I104" s="42"/>
      <c r="J104" s="45">
        <v>402000</v>
      </c>
      <c r="K104" s="42"/>
      <c r="L104" s="45">
        <v>298000</v>
      </c>
      <c r="M104" s="42"/>
      <c r="N104" s="45">
        <v>2937000</v>
      </c>
      <c r="O104" s="42"/>
      <c r="P104" s="45">
        <v>1776000</v>
      </c>
      <c r="Q104" s="42"/>
      <c r="R104" s="45">
        <v>0</v>
      </c>
    </row>
    <row r="105" spans="1:18" x14ac:dyDescent="0.2">
      <c r="A105" s="42"/>
      <c r="B105" s="42"/>
      <c r="C105" s="42" t="s">
        <v>54</v>
      </c>
      <c r="D105" s="42"/>
      <c r="E105" s="42"/>
      <c r="F105" s="45">
        <v>16953000</v>
      </c>
      <c r="G105" s="42"/>
      <c r="H105" s="45">
        <v>13357000</v>
      </c>
      <c r="I105" s="42"/>
      <c r="J105" s="45">
        <v>1078000</v>
      </c>
      <c r="K105" s="42"/>
      <c r="L105" s="45">
        <v>2518000</v>
      </c>
      <c r="M105" s="42"/>
      <c r="N105" s="45">
        <v>10706000</v>
      </c>
      <c r="O105" s="42"/>
      <c r="P105" s="45">
        <v>6332000</v>
      </c>
      <c r="Q105" s="42"/>
      <c r="R105" s="45">
        <v>85000</v>
      </c>
    </row>
    <row r="106" spans="1:18" x14ac:dyDescent="0.2">
      <c r="A106" s="42"/>
      <c r="B106" s="42"/>
      <c r="C106" s="42" t="s">
        <v>55</v>
      </c>
      <c r="D106" s="42"/>
      <c r="E106" s="42"/>
      <c r="F106" s="43">
        <v>1979000</v>
      </c>
      <c r="G106" s="42"/>
      <c r="H106" s="43">
        <v>1802000</v>
      </c>
      <c r="I106" s="42"/>
      <c r="J106" s="43">
        <v>96000</v>
      </c>
      <c r="K106" s="42"/>
      <c r="L106" s="43">
        <v>81000</v>
      </c>
      <c r="M106" s="42"/>
      <c r="N106" s="43">
        <v>1252000</v>
      </c>
      <c r="O106" s="42"/>
      <c r="P106" s="43">
        <v>735000</v>
      </c>
      <c r="Q106" s="42"/>
      <c r="R106" s="43">
        <v>8000</v>
      </c>
    </row>
    <row r="107" spans="1:18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</row>
    <row r="108" spans="1:18" x14ac:dyDescent="0.2">
      <c r="A108" s="42"/>
      <c r="B108" s="42"/>
      <c r="C108" s="42"/>
      <c r="D108" s="42"/>
      <c r="E108" s="42" t="s">
        <v>3</v>
      </c>
      <c r="F108" s="43">
        <v>99724000</v>
      </c>
      <c r="G108" s="42"/>
      <c r="H108" s="43">
        <v>72869000</v>
      </c>
      <c r="I108" s="42"/>
      <c r="J108" s="43">
        <v>13125000</v>
      </c>
      <c r="K108" s="42"/>
      <c r="L108" s="43">
        <v>13730000</v>
      </c>
      <c r="M108" s="42"/>
      <c r="N108" s="43">
        <v>61899000</v>
      </c>
      <c r="O108" s="42"/>
      <c r="P108" s="43">
        <v>37960000</v>
      </c>
      <c r="Q108" s="42"/>
      <c r="R108" s="43">
        <v>135000</v>
      </c>
    </row>
    <row r="109" spans="1:18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</row>
    <row r="110" spans="1:18" x14ac:dyDescent="0.2">
      <c r="A110" s="42"/>
      <c r="B110" s="42" t="s">
        <v>24</v>
      </c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</row>
    <row r="111" spans="1:18" x14ac:dyDescent="0.2">
      <c r="A111" s="42"/>
      <c r="B111" s="42"/>
      <c r="C111" s="42" t="s">
        <v>44</v>
      </c>
      <c r="D111" s="42"/>
      <c r="E111" s="42"/>
      <c r="F111" s="45">
        <v>495000</v>
      </c>
      <c r="G111" s="42"/>
      <c r="H111" s="45">
        <v>90000</v>
      </c>
      <c r="I111" s="42"/>
      <c r="J111" s="45">
        <v>251000</v>
      </c>
      <c r="K111" s="42"/>
      <c r="L111" s="45">
        <v>154000</v>
      </c>
      <c r="M111" s="42"/>
      <c r="N111" s="45">
        <v>174000</v>
      </c>
      <c r="O111" s="42"/>
      <c r="P111" s="45">
        <v>321000</v>
      </c>
      <c r="Q111" s="42"/>
      <c r="R111" s="45">
        <v>0</v>
      </c>
    </row>
    <row r="112" spans="1:18" x14ac:dyDescent="0.2">
      <c r="A112" s="42"/>
      <c r="B112" s="42"/>
      <c r="C112" s="42" t="s">
        <v>45</v>
      </c>
      <c r="D112" s="42"/>
      <c r="E112" s="42"/>
      <c r="F112" s="45">
        <v>22000</v>
      </c>
      <c r="G112" s="42"/>
      <c r="H112" s="45">
        <v>0</v>
      </c>
      <c r="I112" s="42"/>
      <c r="J112" s="45">
        <v>2000</v>
      </c>
      <c r="K112" s="42"/>
      <c r="L112" s="45">
        <v>20000</v>
      </c>
      <c r="M112" s="42"/>
      <c r="N112" s="45">
        <v>10000</v>
      </c>
      <c r="O112" s="42"/>
      <c r="P112" s="45">
        <v>12000</v>
      </c>
      <c r="Q112" s="42"/>
      <c r="R112" s="45">
        <v>0</v>
      </c>
    </row>
    <row r="113" spans="1:18" x14ac:dyDescent="0.2">
      <c r="A113" s="42"/>
      <c r="B113" s="42"/>
      <c r="C113" s="42" t="s">
        <v>39</v>
      </c>
      <c r="D113" s="42"/>
      <c r="E113" s="42"/>
      <c r="F113" s="45">
        <v>578000</v>
      </c>
      <c r="G113" s="42"/>
      <c r="H113" s="45">
        <v>395000</v>
      </c>
      <c r="I113" s="42"/>
      <c r="J113" s="45">
        <v>9000</v>
      </c>
      <c r="K113" s="42"/>
      <c r="L113" s="45">
        <v>174000</v>
      </c>
      <c r="M113" s="42"/>
      <c r="N113" s="45">
        <v>408000</v>
      </c>
      <c r="O113" s="42"/>
      <c r="P113" s="45">
        <v>170000</v>
      </c>
      <c r="Q113" s="42"/>
      <c r="R113" s="45">
        <v>0</v>
      </c>
    </row>
    <row r="114" spans="1:18" x14ac:dyDescent="0.2">
      <c r="A114" s="42"/>
      <c r="B114" s="42"/>
      <c r="C114" s="42" t="s">
        <v>56</v>
      </c>
      <c r="D114" s="42"/>
      <c r="E114" s="42"/>
      <c r="F114" s="45">
        <v>3584000</v>
      </c>
      <c r="G114" s="42"/>
      <c r="H114" s="45">
        <v>469000</v>
      </c>
      <c r="I114" s="42"/>
      <c r="J114" s="45">
        <v>58000</v>
      </c>
      <c r="K114" s="42"/>
      <c r="L114" s="45">
        <v>3057000</v>
      </c>
      <c r="M114" s="42"/>
      <c r="N114" s="45">
        <v>1887000</v>
      </c>
      <c r="O114" s="42"/>
      <c r="P114" s="45">
        <v>1697000</v>
      </c>
      <c r="Q114" s="42"/>
      <c r="R114" s="45">
        <v>0</v>
      </c>
    </row>
    <row r="115" spans="1:18" x14ac:dyDescent="0.2">
      <c r="A115" s="42"/>
      <c r="B115" s="42"/>
      <c r="C115" s="42" t="s">
        <v>47</v>
      </c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</row>
    <row r="116" spans="1:18" x14ac:dyDescent="0.2">
      <c r="A116" s="42"/>
      <c r="B116" s="42"/>
      <c r="C116" s="42"/>
      <c r="D116" s="42"/>
      <c r="E116" s="42" t="s">
        <v>48</v>
      </c>
      <c r="F116" s="45">
        <v>3000</v>
      </c>
      <c r="G116" s="42"/>
      <c r="H116" s="45">
        <v>0</v>
      </c>
      <c r="I116" s="42"/>
      <c r="J116" s="45">
        <v>15000</v>
      </c>
      <c r="K116" s="42"/>
      <c r="L116" s="45">
        <v>-12000</v>
      </c>
      <c r="M116" s="42"/>
      <c r="N116" s="45">
        <v>-10000</v>
      </c>
      <c r="O116" s="42"/>
      <c r="P116" s="45">
        <v>13000</v>
      </c>
      <c r="Q116" s="42"/>
      <c r="R116" s="45">
        <v>0</v>
      </c>
    </row>
    <row r="117" spans="1:18" x14ac:dyDescent="0.2">
      <c r="A117" s="42"/>
      <c r="B117" s="42"/>
      <c r="C117" s="42" t="s">
        <v>49</v>
      </c>
      <c r="D117" s="42"/>
      <c r="E117" s="42"/>
      <c r="F117" s="45">
        <v>106722000</v>
      </c>
      <c r="G117" s="42"/>
      <c r="H117" s="45">
        <v>625000</v>
      </c>
      <c r="I117" s="42"/>
      <c r="J117" s="45">
        <v>2131000</v>
      </c>
      <c r="K117" s="42"/>
      <c r="L117" s="45">
        <v>103966000</v>
      </c>
      <c r="M117" s="42"/>
      <c r="N117" s="45">
        <v>48744000</v>
      </c>
      <c r="O117" s="42"/>
      <c r="P117" s="45">
        <v>57978000</v>
      </c>
      <c r="Q117" s="42"/>
      <c r="R117" s="45">
        <v>0</v>
      </c>
    </row>
    <row r="118" spans="1:18" x14ac:dyDescent="0.2">
      <c r="A118" s="42"/>
      <c r="B118" s="42"/>
      <c r="C118" s="42" t="s">
        <v>50</v>
      </c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</row>
    <row r="119" spans="1:18" x14ac:dyDescent="0.2">
      <c r="A119" s="42"/>
      <c r="B119" s="42"/>
      <c r="C119" s="42"/>
      <c r="D119" s="42"/>
      <c r="E119" s="42" t="s">
        <v>51</v>
      </c>
      <c r="F119" s="45">
        <v>1000</v>
      </c>
      <c r="G119" s="42"/>
      <c r="H119" s="45">
        <v>0</v>
      </c>
      <c r="I119" s="42"/>
      <c r="J119" s="45">
        <v>1000</v>
      </c>
      <c r="K119" s="42"/>
      <c r="L119" s="45">
        <v>0</v>
      </c>
      <c r="M119" s="42"/>
      <c r="N119" s="45">
        <v>0</v>
      </c>
      <c r="O119" s="42"/>
      <c r="P119" s="45">
        <v>1000</v>
      </c>
      <c r="Q119" s="42"/>
      <c r="R119" s="45">
        <v>0</v>
      </c>
    </row>
    <row r="120" spans="1:18" x14ac:dyDescent="0.2">
      <c r="A120" s="42"/>
      <c r="B120" s="42"/>
      <c r="C120" s="42" t="s">
        <v>57</v>
      </c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</row>
    <row r="121" spans="1:18" x14ac:dyDescent="0.2">
      <c r="A121" s="42"/>
      <c r="B121" s="42"/>
      <c r="C121" s="42"/>
      <c r="D121" s="42"/>
      <c r="E121" s="42" t="s">
        <v>58</v>
      </c>
      <c r="F121" s="45">
        <v>3469000</v>
      </c>
      <c r="G121" s="42"/>
      <c r="H121" s="45">
        <v>163000</v>
      </c>
      <c r="I121" s="42"/>
      <c r="J121" s="45">
        <v>143000</v>
      </c>
      <c r="K121" s="42"/>
      <c r="L121" s="45">
        <v>3163000</v>
      </c>
      <c r="M121" s="42"/>
      <c r="N121" s="45">
        <v>2004000</v>
      </c>
      <c r="O121" s="42"/>
      <c r="P121" s="45">
        <v>1475000</v>
      </c>
      <c r="Q121" s="42"/>
      <c r="R121" s="45">
        <v>10000</v>
      </c>
    </row>
    <row r="122" spans="1:18" x14ac:dyDescent="0.2">
      <c r="A122" s="42"/>
      <c r="B122" s="42"/>
      <c r="C122" s="42" t="s">
        <v>53</v>
      </c>
      <c r="D122" s="42"/>
      <c r="E122" s="42"/>
      <c r="F122" s="45">
        <v>22000</v>
      </c>
      <c r="G122" s="42"/>
      <c r="H122" s="45">
        <v>0</v>
      </c>
      <c r="I122" s="42"/>
      <c r="J122" s="45">
        <v>1000</v>
      </c>
      <c r="K122" s="42"/>
      <c r="L122" s="45">
        <v>21000</v>
      </c>
      <c r="M122" s="42"/>
      <c r="N122" s="45">
        <v>10000</v>
      </c>
      <c r="O122" s="42"/>
      <c r="P122" s="45">
        <v>12000</v>
      </c>
      <c r="Q122" s="42"/>
      <c r="R122" s="45">
        <v>0</v>
      </c>
    </row>
    <row r="123" spans="1:18" x14ac:dyDescent="0.2">
      <c r="A123" s="42"/>
      <c r="B123" s="42"/>
      <c r="C123" s="42" t="s">
        <v>59</v>
      </c>
      <c r="D123" s="42"/>
      <c r="E123" s="42"/>
      <c r="F123" s="45">
        <v>99000</v>
      </c>
      <c r="G123" s="42"/>
      <c r="H123" s="45">
        <v>0</v>
      </c>
      <c r="I123" s="42"/>
      <c r="J123" s="45">
        <v>2000</v>
      </c>
      <c r="K123" s="42"/>
      <c r="L123" s="45">
        <v>97000</v>
      </c>
      <c r="M123" s="42"/>
      <c r="N123" s="45">
        <v>23000</v>
      </c>
      <c r="O123" s="42"/>
      <c r="P123" s="45">
        <v>76000</v>
      </c>
      <c r="Q123" s="42"/>
      <c r="R123" s="45">
        <v>0</v>
      </c>
    </row>
    <row r="124" spans="1:18" x14ac:dyDescent="0.2">
      <c r="A124" s="42"/>
      <c r="B124" s="42"/>
      <c r="C124" s="42" t="s">
        <v>55</v>
      </c>
      <c r="D124" s="42"/>
      <c r="E124" s="42"/>
      <c r="F124" s="43">
        <v>-16000</v>
      </c>
      <c r="G124" s="42"/>
      <c r="H124" s="43">
        <v>1000</v>
      </c>
      <c r="I124" s="42"/>
      <c r="J124" s="43">
        <v>-23000</v>
      </c>
      <c r="K124" s="42"/>
      <c r="L124" s="43">
        <v>6000</v>
      </c>
      <c r="M124" s="42"/>
      <c r="N124" s="43">
        <v>0</v>
      </c>
      <c r="O124" s="42"/>
      <c r="P124" s="43">
        <v>-16000</v>
      </c>
      <c r="Q124" s="42"/>
      <c r="R124" s="43">
        <v>0</v>
      </c>
    </row>
    <row r="125" spans="1:18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</row>
    <row r="126" spans="1:18" x14ac:dyDescent="0.2">
      <c r="A126" s="42"/>
      <c r="B126" s="42"/>
      <c r="C126" s="42"/>
      <c r="D126" s="42"/>
      <c r="E126" s="42" t="s">
        <v>60</v>
      </c>
      <c r="F126" s="43">
        <v>114979000</v>
      </c>
      <c r="G126" s="42"/>
      <c r="H126" s="43">
        <v>1743000</v>
      </c>
      <c r="I126" s="42"/>
      <c r="J126" s="43">
        <v>2590000</v>
      </c>
      <c r="K126" s="42"/>
      <c r="L126" s="43">
        <v>110646000</v>
      </c>
      <c r="M126" s="42"/>
      <c r="N126" s="43">
        <v>53250000</v>
      </c>
      <c r="O126" s="42"/>
      <c r="P126" s="43">
        <v>61739000</v>
      </c>
      <c r="Q126" s="42"/>
      <c r="R126" s="43">
        <v>10000</v>
      </c>
    </row>
    <row r="127" spans="1:18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</row>
    <row r="128" spans="1:18" x14ac:dyDescent="0.2">
      <c r="A128" s="42"/>
      <c r="B128" s="42" t="s">
        <v>28</v>
      </c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</row>
    <row r="129" spans="1:18" x14ac:dyDescent="0.2">
      <c r="A129" s="42"/>
      <c r="B129" s="42"/>
      <c r="C129" s="42" t="s">
        <v>39</v>
      </c>
      <c r="D129" s="42"/>
      <c r="E129" s="42"/>
      <c r="F129" s="45">
        <v>0</v>
      </c>
      <c r="G129" s="42"/>
      <c r="H129" s="45">
        <v>0</v>
      </c>
      <c r="I129" s="42"/>
      <c r="J129" s="45">
        <v>0</v>
      </c>
      <c r="K129" s="42"/>
      <c r="L129" s="45">
        <v>0</v>
      </c>
      <c r="M129" s="42"/>
      <c r="N129" s="45">
        <v>0</v>
      </c>
      <c r="O129" s="42"/>
      <c r="P129" s="45">
        <v>0</v>
      </c>
      <c r="Q129" s="42"/>
      <c r="R129" s="45">
        <v>0</v>
      </c>
    </row>
    <row r="130" spans="1:18" x14ac:dyDescent="0.2">
      <c r="A130" s="42"/>
      <c r="B130" s="42"/>
      <c r="C130" s="42" t="s">
        <v>56</v>
      </c>
      <c r="D130" s="42"/>
      <c r="E130" s="42"/>
      <c r="F130" s="43">
        <v>605000</v>
      </c>
      <c r="G130" s="42"/>
      <c r="H130" s="43">
        <v>0</v>
      </c>
      <c r="I130" s="42"/>
      <c r="J130" s="43">
        <v>18000</v>
      </c>
      <c r="K130" s="42"/>
      <c r="L130" s="43">
        <v>587000</v>
      </c>
      <c r="M130" s="42"/>
      <c r="N130" s="43">
        <v>333000</v>
      </c>
      <c r="O130" s="42"/>
      <c r="P130" s="43">
        <v>272000</v>
      </c>
      <c r="Q130" s="42"/>
      <c r="R130" s="43">
        <v>0</v>
      </c>
    </row>
    <row r="131" spans="1:18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</row>
    <row r="132" spans="1:18" x14ac:dyDescent="0.2">
      <c r="A132" s="42"/>
      <c r="B132" s="42"/>
      <c r="C132" s="42"/>
      <c r="D132" s="42"/>
      <c r="E132" s="42" t="s">
        <v>60</v>
      </c>
      <c r="F132" s="43">
        <v>605000</v>
      </c>
      <c r="G132" s="42"/>
      <c r="H132" s="43">
        <v>0</v>
      </c>
      <c r="I132" s="42"/>
      <c r="J132" s="43">
        <v>18000</v>
      </c>
      <c r="K132" s="42"/>
      <c r="L132" s="43">
        <v>587000</v>
      </c>
      <c r="M132" s="42"/>
      <c r="N132" s="43">
        <v>333000</v>
      </c>
      <c r="O132" s="42"/>
      <c r="P132" s="43">
        <v>272000</v>
      </c>
      <c r="Q132" s="42"/>
      <c r="R132" s="43">
        <v>0</v>
      </c>
    </row>
    <row r="133" spans="1:18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</row>
    <row r="134" spans="1:18" x14ac:dyDescent="0.2">
      <c r="A134" s="42"/>
      <c r="B134" s="42" t="s">
        <v>29</v>
      </c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</row>
    <row r="135" spans="1:18" x14ac:dyDescent="0.2">
      <c r="A135" s="42"/>
      <c r="B135" s="42"/>
      <c r="C135" s="42" t="s">
        <v>39</v>
      </c>
      <c r="D135" s="42"/>
      <c r="E135" s="42"/>
      <c r="F135" s="45">
        <v>3588000</v>
      </c>
      <c r="G135" s="42"/>
      <c r="H135" s="45">
        <v>0</v>
      </c>
      <c r="I135" s="42"/>
      <c r="J135" s="45">
        <v>539000</v>
      </c>
      <c r="K135" s="42"/>
      <c r="L135" s="45">
        <v>3049000</v>
      </c>
      <c r="M135" s="42"/>
      <c r="N135" s="45">
        <v>2090000</v>
      </c>
      <c r="O135" s="42"/>
      <c r="P135" s="45">
        <v>1498000</v>
      </c>
      <c r="Q135" s="42"/>
      <c r="R135" s="45">
        <v>0</v>
      </c>
    </row>
    <row r="136" spans="1:18" x14ac:dyDescent="0.2">
      <c r="A136" s="42"/>
      <c r="B136" s="42"/>
      <c r="C136" s="42" t="s">
        <v>56</v>
      </c>
      <c r="D136" s="42"/>
      <c r="E136" s="42"/>
      <c r="F136" s="45">
        <v>430000</v>
      </c>
      <c r="G136" s="42"/>
      <c r="H136" s="45">
        <v>0</v>
      </c>
      <c r="I136" s="42"/>
      <c r="J136" s="45">
        <v>430000</v>
      </c>
      <c r="K136" s="42"/>
      <c r="L136" s="45">
        <v>0</v>
      </c>
      <c r="M136" s="42"/>
      <c r="N136" s="45">
        <v>257000</v>
      </c>
      <c r="O136" s="42"/>
      <c r="P136" s="45">
        <v>177000</v>
      </c>
      <c r="Q136" s="42"/>
      <c r="R136" s="45">
        <v>4000</v>
      </c>
    </row>
    <row r="137" spans="1:18" x14ac:dyDescent="0.2">
      <c r="A137" s="42"/>
      <c r="B137" s="42"/>
      <c r="C137" s="42" t="s">
        <v>47</v>
      </c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</row>
    <row r="138" spans="1:18" x14ac:dyDescent="0.2">
      <c r="A138" s="42"/>
      <c r="B138" s="42"/>
      <c r="C138" s="42"/>
      <c r="D138" s="42"/>
      <c r="E138" s="42" t="s">
        <v>48</v>
      </c>
      <c r="F138" s="45">
        <v>-220000</v>
      </c>
      <c r="G138" s="42"/>
      <c r="H138" s="45">
        <v>21000</v>
      </c>
      <c r="I138" s="42"/>
      <c r="J138" s="45">
        <v>-314000</v>
      </c>
      <c r="K138" s="42"/>
      <c r="L138" s="45">
        <v>73000</v>
      </c>
      <c r="M138" s="42"/>
      <c r="N138" s="45">
        <v>909000</v>
      </c>
      <c r="O138" s="42"/>
      <c r="P138" s="45">
        <v>805000</v>
      </c>
      <c r="Q138" s="42"/>
      <c r="R138" s="45">
        <v>1934000</v>
      </c>
    </row>
    <row r="139" spans="1:18" x14ac:dyDescent="0.2">
      <c r="A139" s="42"/>
      <c r="B139" s="42"/>
      <c r="C139" s="42" t="s">
        <v>49</v>
      </c>
      <c r="D139" s="42"/>
      <c r="E139" s="42"/>
      <c r="F139" s="45">
        <v>2655000</v>
      </c>
      <c r="G139" s="42"/>
      <c r="H139" s="45">
        <v>117000</v>
      </c>
      <c r="I139" s="42"/>
      <c r="J139" s="45">
        <v>2515000</v>
      </c>
      <c r="K139" s="42"/>
      <c r="L139" s="45">
        <v>23000</v>
      </c>
      <c r="M139" s="42"/>
      <c r="N139" s="45">
        <v>2373000</v>
      </c>
      <c r="O139" s="42"/>
      <c r="P139" s="45">
        <v>3418000</v>
      </c>
      <c r="Q139" s="42"/>
      <c r="R139" s="45">
        <v>3136000</v>
      </c>
    </row>
    <row r="140" spans="1:18" x14ac:dyDescent="0.2">
      <c r="A140" s="42"/>
      <c r="B140" s="42"/>
      <c r="C140" s="42" t="s">
        <v>61</v>
      </c>
      <c r="D140" s="42"/>
      <c r="E140" s="42"/>
      <c r="F140" s="45">
        <v>-50000</v>
      </c>
      <c r="G140" s="42"/>
      <c r="H140" s="45">
        <v>0</v>
      </c>
      <c r="I140" s="42"/>
      <c r="J140" s="45">
        <v>-50000</v>
      </c>
      <c r="K140" s="42"/>
      <c r="L140" s="45">
        <v>0</v>
      </c>
      <c r="M140" s="42"/>
      <c r="N140" s="45">
        <v>5000</v>
      </c>
      <c r="O140" s="42"/>
      <c r="P140" s="45">
        <v>105000</v>
      </c>
      <c r="Q140" s="42"/>
      <c r="R140" s="45">
        <v>160000</v>
      </c>
    </row>
    <row r="141" spans="1:18" x14ac:dyDescent="0.2">
      <c r="A141" s="42"/>
      <c r="B141" s="42"/>
      <c r="C141" s="42" t="s">
        <v>62</v>
      </c>
      <c r="D141" s="42"/>
      <c r="E141" s="42"/>
      <c r="F141" s="45">
        <v>1000</v>
      </c>
      <c r="G141" s="42"/>
      <c r="H141" s="45">
        <v>0</v>
      </c>
      <c r="I141" s="42"/>
      <c r="J141" s="45">
        <v>1000</v>
      </c>
      <c r="K141" s="42"/>
      <c r="L141" s="45">
        <v>0</v>
      </c>
      <c r="M141" s="42"/>
      <c r="N141" s="45">
        <v>4000</v>
      </c>
      <c r="O141" s="42"/>
      <c r="P141" s="45">
        <v>2000</v>
      </c>
      <c r="Q141" s="42"/>
      <c r="R141" s="45">
        <v>5000</v>
      </c>
    </row>
    <row r="142" spans="1:18" x14ac:dyDescent="0.2">
      <c r="A142" s="42"/>
      <c r="B142" s="42"/>
      <c r="C142" s="42" t="s">
        <v>59</v>
      </c>
      <c r="D142" s="42"/>
      <c r="E142" s="42"/>
      <c r="F142" s="43">
        <v>2000</v>
      </c>
      <c r="G142" s="42"/>
      <c r="H142" s="43">
        <v>0</v>
      </c>
      <c r="I142" s="42"/>
      <c r="J142" s="43">
        <v>0</v>
      </c>
      <c r="K142" s="42"/>
      <c r="L142" s="43">
        <v>2000</v>
      </c>
      <c r="M142" s="42"/>
      <c r="N142" s="43">
        <v>1000</v>
      </c>
      <c r="O142" s="42"/>
      <c r="P142" s="43">
        <v>1000</v>
      </c>
      <c r="Q142" s="42"/>
      <c r="R142" s="43">
        <v>0</v>
      </c>
    </row>
    <row r="143" spans="1:18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</row>
    <row r="144" spans="1:18" x14ac:dyDescent="0.2">
      <c r="A144" s="42"/>
      <c r="B144" s="42"/>
      <c r="C144" s="42"/>
      <c r="D144" s="42"/>
      <c r="E144" s="42" t="s">
        <v>3</v>
      </c>
      <c r="F144" s="43">
        <v>6406000</v>
      </c>
      <c r="G144" s="42">
        <v>0</v>
      </c>
      <c r="H144" s="43">
        <v>138000</v>
      </c>
      <c r="I144" s="42"/>
      <c r="J144" s="43">
        <v>3121000</v>
      </c>
      <c r="K144" s="42"/>
      <c r="L144" s="43">
        <v>3147000</v>
      </c>
      <c r="M144" s="42"/>
      <c r="N144" s="43">
        <v>5639000</v>
      </c>
      <c r="O144" s="42"/>
      <c r="P144" s="43">
        <v>6006000</v>
      </c>
      <c r="Q144" s="42"/>
      <c r="R144" s="43">
        <v>5239000</v>
      </c>
    </row>
    <row r="145" spans="1:18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</row>
    <row r="146" spans="1:18" x14ac:dyDescent="0.2">
      <c r="A146" s="42"/>
      <c r="B146" s="42"/>
      <c r="C146" s="42"/>
      <c r="D146" s="42"/>
      <c r="E146" s="42" t="s">
        <v>63</v>
      </c>
      <c r="F146" s="43">
        <v>221714000</v>
      </c>
      <c r="G146" s="42"/>
      <c r="H146" s="43">
        <v>74750000</v>
      </c>
      <c r="I146" s="42"/>
      <c r="J146" s="43">
        <v>18854000</v>
      </c>
      <c r="K146" s="42"/>
      <c r="L146" s="43">
        <v>128110000</v>
      </c>
      <c r="M146" s="42"/>
      <c r="N146" s="43">
        <v>121121000</v>
      </c>
      <c r="O146" s="42"/>
      <c r="P146" s="43">
        <v>105977000</v>
      </c>
      <c r="Q146" s="42"/>
      <c r="R146" s="43">
        <v>5384000</v>
      </c>
    </row>
    <row r="147" spans="1:18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</row>
    <row r="148" spans="1:18" x14ac:dyDescent="0.2">
      <c r="A148" s="44" t="s">
        <v>64</v>
      </c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</row>
    <row r="149" spans="1:18" x14ac:dyDescent="0.2">
      <c r="A149" s="42"/>
      <c r="B149" s="44" t="s">
        <v>65</v>
      </c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</row>
    <row r="150" spans="1:18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</row>
    <row r="151" spans="1:18" x14ac:dyDescent="0.2">
      <c r="A151" s="42"/>
      <c r="B151" s="42" t="s">
        <v>13</v>
      </c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</row>
    <row r="152" spans="1:18" x14ac:dyDescent="0.2">
      <c r="A152" s="42"/>
      <c r="B152" s="42"/>
      <c r="C152" s="42" t="s">
        <v>66</v>
      </c>
      <c r="D152" s="42"/>
      <c r="E152" s="42"/>
      <c r="F152" s="45">
        <v>8146000</v>
      </c>
      <c r="G152" s="42"/>
      <c r="H152" s="45">
        <v>6877000</v>
      </c>
      <c r="I152" s="42"/>
      <c r="J152" s="45">
        <v>789000</v>
      </c>
      <c r="K152" s="42"/>
      <c r="L152" s="45">
        <v>480000</v>
      </c>
      <c r="M152" s="42"/>
      <c r="N152" s="45">
        <v>5313000</v>
      </c>
      <c r="O152" s="42"/>
      <c r="P152" s="45">
        <v>2833000</v>
      </c>
      <c r="Q152" s="42"/>
      <c r="R152" s="45">
        <v>0</v>
      </c>
    </row>
    <row r="153" spans="1:18" x14ac:dyDescent="0.2">
      <c r="A153" s="42"/>
      <c r="B153" s="42"/>
      <c r="C153" s="42" t="s">
        <v>67</v>
      </c>
      <c r="D153" s="42"/>
      <c r="E153" s="42"/>
      <c r="F153" s="45">
        <v>3854000</v>
      </c>
      <c r="G153" s="42"/>
      <c r="H153" s="45">
        <v>3260000</v>
      </c>
      <c r="I153" s="42"/>
      <c r="J153" s="45">
        <v>423000</v>
      </c>
      <c r="K153" s="42"/>
      <c r="L153" s="45">
        <v>171000</v>
      </c>
      <c r="M153" s="42"/>
      <c r="N153" s="45">
        <v>2467000</v>
      </c>
      <c r="O153" s="42"/>
      <c r="P153" s="45">
        <v>1387000</v>
      </c>
      <c r="Q153" s="42"/>
      <c r="R153" s="45">
        <v>0</v>
      </c>
    </row>
    <row r="154" spans="1:18" x14ac:dyDescent="0.2">
      <c r="A154" s="42"/>
      <c r="B154" s="42"/>
      <c r="C154" s="42" t="s">
        <v>39</v>
      </c>
      <c r="D154" s="42"/>
      <c r="E154" s="42"/>
      <c r="F154" s="45">
        <v>7038000</v>
      </c>
      <c r="G154" s="42"/>
      <c r="H154" s="45">
        <v>3116000</v>
      </c>
      <c r="I154" s="42"/>
      <c r="J154" s="45">
        <v>2190000</v>
      </c>
      <c r="K154" s="42"/>
      <c r="L154" s="45">
        <v>1732000</v>
      </c>
      <c r="M154" s="42"/>
      <c r="N154" s="45">
        <v>3498000</v>
      </c>
      <c r="O154" s="42"/>
      <c r="P154" s="45">
        <v>3669000</v>
      </c>
      <c r="Q154" s="42"/>
      <c r="R154" s="45">
        <v>129000</v>
      </c>
    </row>
    <row r="155" spans="1:18" x14ac:dyDescent="0.2">
      <c r="A155" s="42"/>
      <c r="B155" s="42"/>
      <c r="C155" s="42" t="s">
        <v>68</v>
      </c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</row>
    <row r="156" spans="1:18" x14ac:dyDescent="0.2">
      <c r="A156" s="42"/>
      <c r="B156" s="42"/>
      <c r="C156" s="42"/>
      <c r="D156" s="42"/>
      <c r="E156" s="42" t="s">
        <v>69</v>
      </c>
      <c r="F156" s="43">
        <v>3369000</v>
      </c>
      <c r="G156" s="42"/>
      <c r="H156" s="43">
        <v>2564000</v>
      </c>
      <c r="I156" s="42"/>
      <c r="J156" s="43">
        <v>364000</v>
      </c>
      <c r="K156" s="42"/>
      <c r="L156" s="43">
        <v>441000</v>
      </c>
      <c r="M156" s="42"/>
      <c r="N156" s="43">
        <v>2087000</v>
      </c>
      <c r="O156" s="42"/>
      <c r="P156" s="43">
        <v>1296000</v>
      </c>
      <c r="Q156" s="42"/>
      <c r="R156" s="43">
        <v>14000</v>
      </c>
    </row>
    <row r="157" spans="1:18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</row>
    <row r="158" spans="1:18" x14ac:dyDescent="0.2">
      <c r="A158" s="42"/>
      <c r="B158" s="42"/>
      <c r="C158" s="42"/>
      <c r="D158" s="42"/>
      <c r="E158" s="42" t="s">
        <v>3</v>
      </c>
      <c r="F158" s="43">
        <v>22407000</v>
      </c>
      <c r="G158" s="42"/>
      <c r="H158" s="43">
        <v>15817000</v>
      </c>
      <c r="I158" s="42"/>
      <c r="J158" s="43">
        <v>3766000</v>
      </c>
      <c r="K158" s="42"/>
      <c r="L158" s="43">
        <v>2824000</v>
      </c>
      <c r="M158" s="42"/>
      <c r="N158" s="43">
        <v>13365000</v>
      </c>
      <c r="O158" s="42"/>
      <c r="P158" s="43">
        <v>9185000</v>
      </c>
      <c r="Q158" s="42"/>
      <c r="R158" s="43">
        <v>143000</v>
      </c>
    </row>
    <row r="159" spans="1:18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</row>
    <row r="160" spans="1:18" x14ac:dyDescent="0.2">
      <c r="A160" s="42"/>
      <c r="B160" s="42" t="s">
        <v>24</v>
      </c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</row>
    <row r="161" spans="1:18" x14ac:dyDescent="0.2">
      <c r="A161" s="42"/>
      <c r="B161" s="42"/>
      <c r="C161" s="42" t="s">
        <v>66</v>
      </c>
      <c r="D161" s="42"/>
      <c r="E161" s="42"/>
      <c r="F161" s="45">
        <v>8000</v>
      </c>
      <c r="G161" s="42"/>
      <c r="H161" s="45">
        <v>0</v>
      </c>
      <c r="I161" s="42"/>
      <c r="J161" s="45">
        <v>1000</v>
      </c>
      <c r="K161" s="42"/>
      <c r="L161" s="45">
        <v>7000</v>
      </c>
      <c r="M161" s="42"/>
      <c r="N161" s="45">
        <v>0</v>
      </c>
      <c r="O161" s="42"/>
      <c r="P161" s="45">
        <v>8000</v>
      </c>
      <c r="Q161" s="42"/>
      <c r="R161" s="45">
        <v>0</v>
      </c>
    </row>
    <row r="162" spans="1:18" x14ac:dyDescent="0.2">
      <c r="A162" s="42"/>
      <c r="B162" s="42"/>
      <c r="C162" s="42" t="s">
        <v>67</v>
      </c>
      <c r="D162" s="42"/>
      <c r="E162" s="42"/>
      <c r="F162" s="45">
        <v>15000</v>
      </c>
      <c r="G162" s="42"/>
      <c r="H162" s="45">
        <v>2000</v>
      </c>
      <c r="I162" s="42"/>
      <c r="J162" s="45">
        <v>13000</v>
      </c>
      <c r="K162" s="42"/>
      <c r="L162" s="45">
        <v>0</v>
      </c>
      <c r="M162" s="42"/>
      <c r="N162" s="45">
        <v>4000</v>
      </c>
      <c r="O162" s="42"/>
      <c r="P162" s="45">
        <v>11000</v>
      </c>
      <c r="Q162" s="42"/>
      <c r="R162" s="45">
        <v>0</v>
      </c>
    </row>
    <row r="163" spans="1:18" x14ac:dyDescent="0.2">
      <c r="A163" s="42"/>
      <c r="B163" s="42"/>
      <c r="C163" s="42" t="s">
        <v>39</v>
      </c>
      <c r="D163" s="42"/>
      <c r="E163" s="42"/>
      <c r="F163" s="45">
        <v>1000</v>
      </c>
      <c r="G163" s="42"/>
      <c r="H163" s="45">
        <v>0</v>
      </c>
      <c r="I163" s="42"/>
      <c r="J163" s="45">
        <v>0</v>
      </c>
      <c r="K163" s="42"/>
      <c r="L163" s="45">
        <v>1000</v>
      </c>
      <c r="M163" s="42"/>
      <c r="N163" s="45">
        <v>0</v>
      </c>
      <c r="O163" s="42"/>
      <c r="P163" s="45">
        <v>1000</v>
      </c>
      <c r="Q163" s="42"/>
      <c r="R163" s="45">
        <v>0</v>
      </c>
    </row>
    <row r="164" spans="1:18" x14ac:dyDescent="0.2">
      <c r="A164" s="42"/>
      <c r="B164" s="42"/>
      <c r="C164" s="42" t="s">
        <v>68</v>
      </c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</row>
    <row r="165" spans="1:18" x14ac:dyDescent="0.2">
      <c r="A165" s="42"/>
      <c r="B165" s="42"/>
      <c r="C165" s="42"/>
      <c r="D165" s="42"/>
      <c r="E165" s="42" t="s">
        <v>69</v>
      </c>
      <c r="F165" s="43">
        <v>0</v>
      </c>
      <c r="G165" s="42"/>
      <c r="H165" s="43">
        <v>0</v>
      </c>
      <c r="I165" s="42"/>
      <c r="J165" s="43">
        <v>0</v>
      </c>
      <c r="K165" s="42"/>
      <c r="L165" s="43">
        <v>0</v>
      </c>
      <c r="M165" s="42"/>
      <c r="N165" s="43">
        <v>0</v>
      </c>
      <c r="O165" s="42"/>
      <c r="P165" s="43">
        <v>0</v>
      </c>
      <c r="Q165" s="42"/>
      <c r="R165" s="43">
        <v>0</v>
      </c>
    </row>
    <row r="166" spans="1:18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</row>
    <row r="167" spans="1:18" x14ac:dyDescent="0.2">
      <c r="A167" s="42"/>
      <c r="B167" s="42"/>
      <c r="C167" s="42"/>
      <c r="D167" s="42"/>
      <c r="E167" s="42" t="s">
        <v>3</v>
      </c>
      <c r="F167" s="43">
        <v>24000</v>
      </c>
      <c r="G167" s="42"/>
      <c r="H167" s="43">
        <v>2000</v>
      </c>
      <c r="I167" s="42"/>
      <c r="J167" s="43">
        <v>14000</v>
      </c>
      <c r="K167" s="42"/>
      <c r="L167" s="43">
        <v>8000</v>
      </c>
      <c r="M167" s="42"/>
      <c r="N167" s="43">
        <v>4000</v>
      </c>
      <c r="O167" s="42"/>
      <c r="P167" s="43">
        <v>20000</v>
      </c>
      <c r="Q167" s="42"/>
      <c r="R167" s="43">
        <v>0</v>
      </c>
    </row>
    <row r="168" spans="1:18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</row>
    <row r="169" spans="1:18" x14ac:dyDescent="0.2">
      <c r="A169" s="42"/>
      <c r="B169" s="42" t="s">
        <v>29</v>
      </c>
      <c r="C169" s="42"/>
      <c r="D169" s="42"/>
      <c r="E169" s="42"/>
      <c r="F169" s="43">
        <v>53000</v>
      </c>
      <c r="G169" s="42"/>
      <c r="H169" s="43">
        <v>0</v>
      </c>
      <c r="I169" s="42"/>
      <c r="J169" s="43">
        <v>19000</v>
      </c>
      <c r="K169" s="42"/>
      <c r="L169" s="43">
        <v>34000</v>
      </c>
      <c r="M169" s="42"/>
      <c r="N169" s="43">
        <v>8000</v>
      </c>
      <c r="O169" s="42"/>
      <c r="P169" s="43">
        <v>45000</v>
      </c>
      <c r="Q169" s="42"/>
      <c r="R169" s="43">
        <v>0</v>
      </c>
    </row>
    <row r="170" spans="1:18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</row>
    <row r="171" spans="1:18" x14ac:dyDescent="0.2">
      <c r="A171" s="42"/>
      <c r="B171" s="42"/>
      <c r="C171" s="42"/>
      <c r="D171" s="42"/>
      <c r="E171" s="42" t="s">
        <v>70</v>
      </c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</row>
    <row r="172" spans="1:18" x14ac:dyDescent="0.2">
      <c r="A172" s="42"/>
      <c r="B172" s="42"/>
      <c r="C172" s="42"/>
      <c r="D172" s="42"/>
      <c r="E172" s="42" t="s">
        <v>71</v>
      </c>
      <c r="F172" s="43">
        <v>22484000</v>
      </c>
      <c r="G172" s="42"/>
      <c r="H172" s="43">
        <v>15819000</v>
      </c>
      <c r="I172" s="42"/>
      <c r="J172" s="43">
        <v>3799000</v>
      </c>
      <c r="K172" s="42"/>
      <c r="L172" s="43">
        <v>2866000</v>
      </c>
      <c r="M172" s="42"/>
      <c r="N172" s="43">
        <v>13377000</v>
      </c>
      <c r="O172" s="42"/>
      <c r="P172" s="43">
        <v>9250000</v>
      </c>
      <c r="Q172" s="42"/>
      <c r="R172" s="43">
        <v>143000</v>
      </c>
    </row>
    <row r="173" spans="1:18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</row>
    <row r="174" spans="1:18" x14ac:dyDescent="0.2">
      <c r="A174" s="44" t="s">
        <v>72</v>
      </c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</row>
    <row r="175" spans="1:18" x14ac:dyDescent="0.2">
      <c r="A175" s="42"/>
      <c r="B175" s="44" t="s">
        <v>73</v>
      </c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</row>
    <row r="176" spans="1:18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</row>
    <row r="177" spans="1:18" x14ac:dyDescent="0.2">
      <c r="A177" s="42"/>
      <c r="B177" s="42" t="s">
        <v>13</v>
      </c>
      <c r="C177" s="42"/>
      <c r="D177" s="42"/>
      <c r="E177" s="42"/>
      <c r="F177" s="43">
        <v>7224000</v>
      </c>
      <c r="G177" s="42"/>
      <c r="H177" s="43">
        <v>3536000</v>
      </c>
      <c r="I177" s="42"/>
      <c r="J177" s="43">
        <v>1327000</v>
      </c>
      <c r="K177" s="42"/>
      <c r="L177" s="43">
        <v>2361000</v>
      </c>
      <c r="M177" s="42"/>
      <c r="N177" s="43">
        <v>4601000</v>
      </c>
      <c r="O177" s="42"/>
      <c r="P177" s="43">
        <v>2623000</v>
      </c>
      <c r="Q177" s="42"/>
      <c r="R177" s="43">
        <v>0</v>
      </c>
    </row>
    <row r="178" spans="1:18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</row>
    <row r="179" spans="1:18" x14ac:dyDescent="0.2">
      <c r="A179" s="42"/>
      <c r="B179" s="42" t="s">
        <v>24</v>
      </c>
      <c r="C179" s="42"/>
      <c r="D179" s="42"/>
      <c r="E179" s="42"/>
      <c r="F179" s="43">
        <v>487000</v>
      </c>
      <c r="G179" s="42"/>
      <c r="H179" s="43">
        <v>0</v>
      </c>
      <c r="I179" s="42"/>
      <c r="J179" s="43">
        <v>-2000</v>
      </c>
      <c r="K179" s="42"/>
      <c r="L179" s="43">
        <v>489000</v>
      </c>
      <c r="M179" s="42"/>
      <c r="N179" s="43">
        <v>195000</v>
      </c>
      <c r="O179" s="42"/>
      <c r="P179" s="43">
        <v>293000</v>
      </c>
      <c r="Q179" s="42"/>
      <c r="R179" s="43">
        <v>1000</v>
      </c>
    </row>
    <row r="180" spans="1:18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</row>
    <row r="181" spans="1:18" x14ac:dyDescent="0.2">
      <c r="A181" s="42"/>
      <c r="B181" s="42" t="s">
        <v>28</v>
      </c>
      <c r="C181" s="42"/>
      <c r="D181" s="42"/>
      <c r="E181" s="42"/>
      <c r="F181" s="43">
        <v>67000</v>
      </c>
      <c r="G181" s="42"/>
      <c r="H181" s="43">
        <v>-1000</v>
      </c>
      <c r="I181" s="42"/>
      <c r="J181" s="43">
        <v>0</v>
      </c>
      <c r="K181" s="42"/>
      <c r="L181" s="43">
        <v>68000</v>
      </c>
      <c r="M181" s="42"/>
      <c r="N181" s="43">
        <v>48000</v>
      </c>
      <c r="O181" s="42"/>
      <c r="P181" s="43">
        <v>19000</v>
      </c>
      <c r="Q181" s="42"/>
      <c r="R181" s="43">
        <v>0</v>
      </c>
    </row>
    <row r="182" spans="1:18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</row>
    <row r="183" spans="1:18" x14ac:dyDescent="0.2">
      <c r="A183" s="42"/>
      <c r="B183" s="42" t="s">
        <v>29</v>
      </c>
      <c r="C183" s="42"/>
      <c r="D183" s="42"/>
      <c r="E183" s="42"/>
      <c r="F183" s="43">
        <v>2000</v>
      </c>
      <c r="G183" s="42"/>
      <c r="H183" s="43">
        <v>0</v>
      </c>
      <c r="I183" s="42"/>
      <c r="J183" s="43">
        <v>2000</v>
      </c>
      <c r="K183" s="42"/>
      <c r="L183" s="43">
        <v>0</v>
      </c>
      <c r="M183" s="42"/>
      <c r="N183" s="43">
        <v>2000</v>
      </c>
      <c r="O183" s="42"/>
      <c r="P183" s="43">
        <v>0</v>
      </c>
      <c r="Q183" s="42"/>
      <c r="R183" s="43">
        <v>0</v>
      </c>
    </row>
    <row r="184" spans="1:18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</row>
    <row r="185" spans="1:18" x14ac:dyDescent="0.2">
      <c r="A185" s="42"/>
      <c r="B185" s="42"/>
      <c r="C185" s="42"/>
      <c r="D185" s="42"/>
      <c r="E185" s="42" t="s">
        <v>74</v>
      </c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</row>
    <row r="186" spans="1:18" x14ac:dyDescent="0.2">
      <c r="A186" s="42"/>
      <c r="B186" s="42"/>
      <c r="C186" s="42"/>
      <c r="D186" s="42"/>
      <c r="E186" s="42" t="s">
        <v>75</v>
      </c>
      <c r="F186" s="43">
        <v>7780000</v>
      </c>
      <c r="G186" s="42"/>
      <c r="H186" s="43">
        <v>3535000</v>
      </c>
      <c r="I186" s="42"/>
      <c r="J186" s="43">
        <v>1327000</v>
      </c>
      <c r="K186" s="42"/>
      <c r="L186" s="43">
        <v>2918000</v>
      </c>
      <c r="M186" s="42"/>
      <c r="N186" s="43">
        <v>4846000</v>
      </c>
      <c r="O186" s="42"/>
      <c r="P186" s="43">
        <v>2935000</v>
      </c>
      <c r="Q186" s="42"/>
      <c r="R186" s="43">
        <v>1000</v>
      </c>
    </row>
    <row r="187" spans="1:18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</row>
    <row r="188" spans="1:18" x14ac:dyDescent="0.2">
      <c r="A188" s="44" t="s">
        <v>76</v>
      </c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</row>
    <row r="189" spans="1:18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</row>
    <row r="190" spans="1:18" x14ac:dyDescent="0.2">
      <c r="A190" s="42"/>
      <c r="B190" s="42" t="s">
        <v>13</v>
      </c>
      <c r="C190" s="42"/>
      <c r="D190" s="42"/>
      <c r="E190" s="42"/>
      <c r="F190" s="43">
        <v>32702000</v>
      </c>
      <c r="G190" s="42"/>
      <c r="H190" s="43">
        <v>18342000</v>
      </c>
      <c r="I190" s="42"/>
      <c r="J190" s="43">
        <v>11194000</v>
      </c>
      <c r="K190" s="42"/>
      <c r="L190" s="43">
        <v>3166000</v>
      </c>
      <c r="M190" s="42"/>
      <c r="N190" s="43">
        <v>22844000</v>
      </c>
      <c r="O190" s="42"/>
      <c r="P190" s="43">
        <v>9858000</v>
      </c>
      <c r="Q190" s="42"/>
      <c r="R190" s="43">
        <v>0</v>
      </c>
    </row>
    <row r="191" spans="1:18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</row>
    <row r="192" spans="1:18" x14ac:dyDescent="0.2">
      <c r="A192" s="42"/>
      <c r="B192" s="42" t="s">
        <v>24</v>
      </c>
      <c r="C192" s="42"/>
      <c r="D192" s="42"/>
      <c r="E192" s="42"/>
      <c r="F192" s="43">
        <v>11159000</v>
      </c>
      <c r="G192" s="42"/>
      <c r="H192" s="43">
        <v>1099000</v>
      </c>
      <c r="I192" s="42"/>
      <c r="J192" s="43">
        <v>4839000</v>
      </c>
      <c r="K192" s="42"/>
      <c r="L192" s="43">
        <v>5221000</v>
      </c>
      <c r="M192" s="42"/>
      <c r="N192" s="43">
        <v>6609000</v>
      </c>
      <c r="O192" s="42"/>
      <c r="P192" s="43">
        <v>4565000</v>
      </c>
      <c r="Q192" s="42"/>
      <c r="R192" s="43">
        <v>15000</v>
      </c>
    </row>
    <row r="193" spans="1:18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</row>
    <row r="194" spans="1:18" x14ac:dyDescent="0.2">
      <c r="A194" s="42"/>
      <c r="B194" s="42" t="s">
        <v>28</v>
      </c>
      <c r="C194" s="42"/>
      <c r="D194" s="42"/>
      <c r="E194" s="42"/>
      <c r="F194" s="43">
        <v>90000</v>
      </c>
      <c r="G194" s="42"/>
      <c r="H194" s="43">
        <v>0</v>
      </c>
      <c r="I194" s="42"/>
      <c r="J194" s="43">
        <v>3000</v>
      </c>
      <c r="K194" s="42"/>
      <c r="L194" s="43">
        <v>87000</v>
      </c>
      <c r="M194" s="42"/>
      <c r="N194" s="43">
        <v>59000</v>
      </c>
      <c r="O194" s="42"/>
      <c r="P194" s="43">
        <v>31000</v>
      </c>
      <c r="Q194" s="42"/>
      <c r="R194" s="43">
        <v>0</v>
      </c>
    </row>
    <row r="195" spans="1:18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</row>
    <row r="196" spans="1:18" x14ac:dyDescent="0.2">
      <c r="A196" s="42"/>
      <c r="B196" s="42" t="s">
        <v>29</v>
      </c>
      <c r="C196" s="42"/>
      <c r="D196" s="42"/>
      <c r="E196" s="42"/>
      <c r="F196" s="43">
        <v>13843000</v>
      </c>
      <c r="G196" s="42"/>
      <c r="H196" s="43">
        <v>2485000</v>
      </c>
      <c r="I196" s="42"/>
      <c r="J196" s="43">
        <v>10756000</v>
      </c>
      <c r="K196" s="42"/>
      <c r="L196" s="43">
        <v>602000</v>
      </c>
      <c r="M196" s="42"/>
      <c r="N196" s="43">
        <v>7482000</v>
      </c>
      <c r="O196" s="42"/>
      <c r="P196" s="43">
        <v>6361000</v>
      </c>
      <c r="Q196" s="42"/>
      <c r="R196" s="43">
        <v>0</v>
      </c>
    </row>
    <row r="197" spans="1:18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</row>
    <row r="198" spans="1:18" x14ac:dyDescent="0.2">
      <c r="A198" s="42"/>
      <c r="B198" s="42"/>
      <c r="C198" s="42"/>
      <c r="D198" s="42"/>
      <c r="E198" s="42" t="s">
        <v>77</v>
      </c>
      <c r="F198" s="43">
        <v>57794000</v>
      </c>
      <c r="G198" s="42"/>
      <c r="H198" s="43">
        <v>21926000</v>
      </c>
      <c r="I198" s="42"/>
      <c r="J198" s="43">
        <v>26792000</v>
      </c>
      <c r="K198" s="42"/>
      <c r="L198" s="43">
        <v>9076000</v>
      </c>
      <c r="M198" s="42"/>
      <c r="N198" s="43">
        <v>36994000</v>
      </c>
      <c r="O198" s="42"/>
      <c r="P198" s="43">
        <v>20815000</v>
      </c>
      <c r="Q198" s="42"/>
      <c r="R198" s="43">
        <v>15000</v>
      </c>
    </row>
    <row r="199" spans="1:18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</row>
    <row r="200" spans="1:18" x14ac:dyDescent="0.2">
      <c r="A200" s="44" t="s">
        <v>78</v>
      </c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</row>
    <row r="201" spans="1:18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</row>
    <row r="202" spans="1:18" x14ac:dyDescent="0.2">
      <c r="A202" s="42"/>
      <c r="B202" s="42" t="s">
        <v>13</v>
      </c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</row>
    <row r="203" spans="1:18" x14ac:dyDescent="0.2">
      <c r="A203" s="42"/>
      <c r="B203" s="42"/>
      <c r="C203" s="42" t="s">
        <v>79</v>
      </c>
      <c r="D203" s="42"/>
      <c r="E203" s="42"/>
      <c r="F203" s="45">
        <v>3024000</v>
      </c>
      <c r="G203" s="42"/>
      <c r="H203" s="45">
        <v>2839000</v>
      </c>
      <c r="I203" s="42"/>
      <c r="J203" s="45">
        <v>135000</v>
      </c>
      <c r="K203" s="42"/>
      <c r="L203" s="45">
        <v>50000</v>
      </c>
      <c r="M203" s="42"/>
      <c r="N203" s="45">
        <v>2007000</v>
      </c>
      <c r="O203" s="42"/>
      <c r="P203" s="45">
        <v>1017000</v>
      </c>
      <c r="Q203" s="42"/>
      <c r="R203" s="45">
        <v>0</v>
      </c>
    </row>
    <row r="204" spans="1:18" x14ac:dyDescent="0.2">
      <c r="A204" s="42"/>
      <c r="B204" s="42"/>
      <c r="C204" s="42" t="s">
        <v>80</v>
      </c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</row>
    <row r="205" spans="1:18" x14ac:dyDescent="0.2">
      <c r="A205" s="42"/>
      <c r="B205" s="42"/>
      <c r="C205" s="42"/>
      <c r="D205" s="42"/>
      <c r="E205" s="42" t="s">
        <v>81</v>
      </c>
      <c r="F205" s="45">
        <v>139000</v>
      </c>
      <c r="G205" s="42"/>
      <c r="H205" s="45">
        <v>2000</v>
      </c>
      <c r="I205" s="42"/>
      <c r="J205" s="45">
        <v>0</v>
      </c>
      <c r="K205" s="42"/>
      <c r="L205" s="45">
        <v>137000</v>
      </c>
      <c r="M205" s="42"/>
      <c r="N205" s="45">
        <v>61000</v>
      </c>
      <c r="O205" s="42"/>
      <c r="P205" s="45">
        <v>78000</v>
      </c>
      <c r="Q205" s="42"/>
      <c r="R205" s="45">
        <v>0</v>
      </c>
    </row>
    <row r="206" spans="1:18" x14ac:dyDescent="0.2">
      <c r="A206" s="42"/>
      <c r="B206" s="42"/>
      <c r="C206" s="42" t="s">
        <v>82</v>
      </c>
      <c r="D206" s="42"/>
      <c r="E206" s="42"/>
      <c r="F206" s="45">
        <v>8977000</v>
      </c>
      <c r="G206" s="42"/>
      <c r="H206" s="45">
        <v>7739000</v>
      </c>
      <c r="I206" s="42"/>
      <c r="J206" s="45">
        <v>664000</v>
      </c>
      <c r="K206" s="42"/>
      <c r="L206" s="45">
        <v>574000</v>
      </c>
      <c r="M206" s="42"/>
      <c r="N206" s="45">
        <v>5859000</v>
      </c>
      <c r="O206" s="42"/>
      <c r="P206" s="45">
        <v>3118000</v>
      </c>
      <c r="Q206" s="42"/>
      <c r="R206" s="45">
        <v>0</v>
      </c>
    </row>
    <row r="207" spans="1:18" x14ac:dyDescent="0.2">
      <c r="A207" s="42"/>
      <c r="B207" s="42"/>
      <c r="C207" s="42" t="s">
        <v>83</v>
      </c>
      <c r="D207" s="42"/>
      <c r="E207" s="42"/>
      <c r="F207" s="45">
        <v>1174000</v>
      </c>
      <c r="G207" s="42"/>
      <c r="H207" s="45">
        <v>497000</v>
      </c>
      <c r="I207" s="42"/>
      <c r="J207" s="45">
        <v>354000</v>
      </c>
      <c r="K207" s="42"/>
      <c r="L207" s="45">
        <v>323000</v>
      </c>
      <c r="M207" s="42"/>
      <c r="N207" s="45">
        <v>552000</v>
      </c>
      <c r="O207" s="42"/>
      <c r="P207" s="45">
        <v>622000</v>
      </c>
      <c r="Q207" s="42"/>
      <c r="R207" s="45">
        <v>0</v>
      </c>
    </row>
    <row r="208" spans="1:18" x14ac:dyDescent="0.2">
      <c r="A208" s="42"/>
      <c r="B208" s="42"/>
      <c r="C208" s="42" t="s">
        <v>84</v>
      </c>
      <c r="D208" s="42"/>
      <c r="E208" s="42"/>
      <c r="F208" s="45">
        <v>3963000</v>
      </c>
      <c r="G208" s="42"/>
      <c r="H208" s="45">
        <v>3436000</v>
      </c>
      <c r="I208" s="42"/>
      <c r="J208" s="45">
        <v>207000</v>
      </c>
      <c r="K208" s="42"/>
      <c r="L208" s="45">
        <v>320000</v>
      </c>
      <c r="M208" s="42"/>
      <c r="N208" s="45">
        <v>2474000</v>
      </c>
      <c r="O208" s="42"/>
      <c r="P208" s="45">
        <v>1489000</v>
      </c>
      <c r="Q208" s="42"/>
      <c r="R208" s="45">
        <v>0</v>
      </c>
    </row>
    <row r="209" spans="1:18" x14ac:dyDescent="0.2">
      <c r="A209" s="42"/>
      <c r="B209" s="42"/>
      <c r="C209" s="42" t="s">
        <v>85</v>
      </c>
      <c r="D209" s="42"/>
      <c r="E209" s="42"/>
      <c r="F209" s="45">
        <v>2368000</v>
      </c>
      <c r="G209" s="42"/>
      <c r="H209" s="45">
        <v>2175000</v>
      </c>
      <c r="I209" s="42"/>
      <c r="J209" s="45">
        <v>140000</v>
      </c>
      <c r="K209" s="42"/>
      <c r="L209" s="45">
        <v>53000</v>
      </c>
      <c r="M209" s="42"/>
      <c r="N209" s="45">
        <v>1570000</v>
      </c>
      <c r="O209" s="42"/>
      <c r="P209" s="45">
        <v>798000</v>
      </c>
      <c r="Q209" s="42"/>
      <c r="R209" s="45">
        <v>0</v>
      </c>
    </row>
    <row r="210" spans="1:18" x14ac:dyDescent="0.2">
      <c r="A210" s="42"/>
      <c r="B210" s="42"/>
      <c r="C210" s="42" t="s">
        <v>86</v>
      </c>
      <c r="D210" s="42"/>
      <c r="E210" s="42"/>
      <c r="F210" s="45">
        <v>5800000</v>
      </c>
      <c r="G210" s="42"/>
      <c r="H210" s="45">
        <v>3582000</v>
      </c>
      <c r="I210" s="42"/>
      <c r="J210" s="45">
        <v>771000</v>
      </c>
      <c r="K210" s="42"/>
      <c r="L210" s="45">
        <v>1447000</v>
      </c>
      <c r="M210" s="42"/>
      <c r="N210" s="45">
        <v>3336000</v>
      </c>
      <c r="O210" s="42"/>
      <c r="P210" s="45">
        <v>2464000</v>
      </c>
      <c r="Q210" s="42"/>
      <c r="R210" s="45">
        <v>0</v>
      </c>
    </row>
    <row r="211" spans="1:18" x14ac:dyDescent="0.2">
      <c r="A211" s="42"/>
      <c r="B211" s="42"/>
      <c r="C211" s="42" t="s">
        <v>87</v>
      </c>
      <c r="D211" s="42"/>
      <c r="E211" s="42"/>
      <c r="F211" s="45">
        <v>794000</v>
      </c>
      <c r="G211" s="42"/>
      <c r="H211" s="45">
        <v>393000</v>
      </c>
      <c r="I211" s="42"/>
      <c r="J211" s="45">
        <v>226000</v>
      </c>
      <c r="K211" s="42"/>
      <c r="L211" s="45">
        <v>175000</v>
      </c>
      <c r="M211" s="42"/>
      <c r="N211" s="45">
        <v>318000</v>
      </c>
      <c r="O211" s="42"/>
      <c r="P211" s="45">
        <v>476000</v>
      </c>
      <c r="Q211" s="42"/>
      <c r="R211" s="45">
        <v>0</v>
      </c>
    </row>
    <row r="212" spans="1:18" x14ac:dyDescent="0.2">
      <c r="A212" s="42"/>
      <c r="B212" s="42"/>
      <c r="C212" s="42" t="s">
        <v>88</v>
      </c>
      <c r="D212" s="42"/>
      <c r="E212" s="42"/>
      <c r="F212" s="45">
        <v>3488000</v>
      </c>
      <c r="G212" s="42"/>
      <c r="H212" s="45">
        <v>3398000</v>
      </c>
      <c r="I212" s="42"/>
      <c r="J212" s="45">
        <v>84000</v>
      </c>
      <c r="K212" s="42"/>
      <c r="L212" s="45">
        <v>6000</v>
      </c>
      <c r="M212" s="42"/>
      <c r="N212" s="45">
        <v>2310000</v>
      </c>
      <c r="O212" s="42"/>
      <c r="P212" s="45">
        <v>1178000</v>
      </c>
      <c r="Q212" s="42"/>
      <c r="R212" s="45">
        <v>0</v>
      </c>
    </row>
    <row r="213" spans="1:18" x14ac:dyDescent="0.2">
      <c r="A213" s="42"/>
      <c r="B213" s="42"/>
      <c r="C213" s="42" t="s">
        <v>89</v>
      </c>
      <c r="D213" s="42"/>
      <c r="E213" s="42"/>
      <c r="F213" s="45">
        <v>406000</v>
      </c>
      <c r="G213" s="42"/>
      <c r="H213" s="45">
        <v>398000</v>
      </c>
      <c r="I213" s="42"/>
      <c r="J213" s="45">
        <v>0</v>
      </c>
      <c r="K213" s="42"/>
      <c r="L213" s="45">
        <v>8000</v>
      </c>
      <c r="M213" s="42"/>
      <c r="N213" s="45">
        <v>345000</v>
      </c>
      <c r="O213" s="42"/>
      <c r="P213" s="45">
        <v>61000</v>
      </c>
      <c r="Q213" s="42"/>
      <c r="R213" s="45">
        <v>0</v>
      </c>
    </row>
    <row r="214" spans="1:18" x14ac:dyDescent="0.2">
      <c r="A214" s="42"/>
      <c r="B214" s="42"/>
      <c r="C214" s="42" t="s">
        <v>90</v>
      </c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</row>
    <row r="215" spans="1:18" x14ac:dyDescent="0.2">
      <c r="A215" s="42"/>
      <c r="B215" s="42"/>
      <c r="C215" s="42" t="s">
        <v>22</v>
      </c>
      <c r="D215" s="42" t="s">
        <v>22</v>
      </c>
      <c r="E215" s="42" t="s">
        <v>91</v>
      </c>
      <c r="F215" s="45">
        <v>-89000</v>
      </c>
      <c r="G215" s="42"/>
      <c r="H215" s="45">
        <v>1000</v>
      </c>
      <c r="I215" s="42"/>
      <c r="J215" s="45">
        <v>-100000</v>
      </c>
      <c r="K215" s="42"/>
      <c r="L215" s="45">
        <v>10000</v>
      </c>
      <c r="M215" s="42"/>
      <c r="N215" s="45">
        <v>10000</v>
      </c>
      <c r="O215" s="42"/>
      <c r="P215" s="45">
        <v>-99000</v>
      </c>
      <c r="Q215" s="42"/>
      <c r="R215" s="45">
        <v>0</v>
      </c>
    </row>
    <row r="216" spans="1:18" x14ac:dyDescent="0.2">
      <c r="A216" s="42"/>
      <c r="B216" s="42"/>
      <c r="C216" s="42" t="s">
        <v>92</v>
      </c>
      <c r="D216" s="42"/>
      <c r="E216" s="42"/>
      <c r="F216" s="45">
        <v>66000</v>
      </c>
      <c r="G216" s="42"/>
      <c r="H216" s="45">
        <v>0</v>
      </c>
      <c r="I216" s="42"/>
      <c r="J216" s="45">
        <v>63000</v>
      </c>
      <c r="K216" s="42"/>
      <c r="L216" s="45">
        <v>3000</v>
      </c>
      <c r="M216" s="42"/>
      <c r="N216" s="45">
        <v>40000</v>
      </c>
      <c r="O216" s="42"/>
      <c r="P216" s="45">
        <v>26000</v>
      </c>
      <c r="Q216" s="42"/>
      <c r="R216" s="45">
        <v>0</v>
      </c>
    </row>
    <row r="217" spans="1:18" x14ac:dyDescent="0.2">
      <c r="A217" s="42"/>
      <c r="B217" s="42"/>
      <c r="C217" s="42" t="s">
        <v>93</v>
      </c>
      <c r="D217" s="42"/>
      <c r="E217" s="42"/>
      <c r="F217" s="45">
        <v>4045000</v>
      </c>
      <c r="G217" s="42"/>
      <c r="H217" s="45">
        <v>2943000</v>
      </c>
      <c r="I217" s="42"/>
      <c r="J217" s="45">
        <v>366000</v>
      </c>
      <c r="K217" s="42"/>
      <c r="L217" s="45">
        <v>736000</v>
      </c>
      <c r="M217" s="42"/>
      <c r="N217" s="45">
        <v>2518000</v>
      </c>
      <c r="O217" s="42"/>
      <c r="P217" s="45">
        <v>1527000</v>
      </c>
      <c r="Q217" s="42"/>
      <c r="R217" s="45">
        <v>0</v>
      </c>
    </row>
    <row r="218" spans="1:18" x14ac:dyDescent="0.2">
      <c r="A218" s="42"/>
      <c r="B218" s="42"/>
      <c r="C218" s="42" t="s">
        <v>94</v>
      </c>
      <c r="D218" s="42"/>
      <c r="E218" s="42"/>
      <c r="F218" s="45">
        <v>2520000</v>
      </c>
      <c r="G218" s="42"/>
      <c r="H218" s="45">
        <v>1807000</v>
      </c>
      <c r="I218" s="42"/>
      <c r="J218" s="45">
        <v>711000</v>
      </c>
      <c r="K218" s="42"/>
      <c r="L218" s="45">
        <v>2000</v>
      </c>
      <c r="M218" s="42"/>
      <c r="N218" s="45">
        <v>1734000</v>
      </c>
      <c r="O218" s="42"/>
      <c r="P218" s="45">
        <v>786000</v>
      </c>
      <c r="Q218" s="42"/>
      <c r="R218" s="45">
        <v>0</v>
      </c>
    </row>
    <row r="219" spans="1:18" x14ac:dyDescent="0.2">
      <c r="A219" s="42"/>
      <c r="B219" s="42"/>
      <c r="C219" s="42" t="s">
        <v>95</v>
      </c>
      <c r="D219" s="42"/>
      <c r="E219" s="42"/>
      <c r="F219" s="45">
        <v>3838000</v>
      </c>
      <c r="G219" s="42"/>
      <c r="H219" s="45">
        <v>3641000</v>
      </c>
      <c r="I219" s="42"/>
      <c r="J219" s="45">
        <v>85000</v>
      </c>
      <c r="K219" s="42"/>
      <c r="L219" s="45">
        <v>112000</v>
      </c>
      <c r="M219" s="42"/>
      <c r="N219" s="45">
        <v>2504000</v>
      </c>
      <c r="O219" s="42"/>
      <c r="P219" s="45">
        <v>1334000</v>
      </c>
      <c r="Q219" s="42"/>
      <c r="R219" s="45">
        <v>0</v>
      </c>
    </row>
    <row r="220" spans="1:18" x14ac:dyDescent="0.2">
      <c r="A220" s="42"/>
      <c r="B220" s="42"/>
      <c r="C220" s="42" t="s">
        <v>96</v>
      </c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</row>
    <row r="221" spans="1:18" x14ac:dyDescent="0.2">
      <c r="A221" s="42"/>
      <c r="B221" s="42"/>
      <c r="C221" s="42" t="s">
        <v>22</v>
      </c>
      <c r="D221" s="42" t="s">
        <v>22</v>
      </c>
      <c r="E221" s="42" t="s">
        <v>97</v>
      </c>
      <c r="F221" s="45">
        <v>540000</v>
      </c>
      <c r="G221" s="42"/>
      <c r="H221" s="45">
        <v>502000</v>
      </c>
      <c r="I221" s="42"/>
      <c r="J221" s="45">
        <v>38000</v>
      </c>
      <c r="K221" s="42"/>
      <c r="L221" s="45">
        <v>0</v>
      </c>
      <c r="M221" s="42"/>
      <c r="N221" s="45">
        <v>363000</v>
      </c>
      <c r="O221" s="42"/>
      <c r="P221" s="45">
        <v>177000</v>
      </c>
      <c r="Q221" s="42"/>
      <c r="R221" s="45">
        <v>0</v>
      </c>
    </row>
    <row r="222" spans="1:18" x14ac:dyDescent="0.2">
      <c r="A222" s="42"/>
      <c r="B222" s="42"/>
      <c r="C222" s="42" t="s">
        <v>39</v>
      </c>
      <c r="D222" s="42"/>
      <c r="E222" s="42"/>
      <c r="F222" s="45">
        <v>9060000</v>
      </c>
      <c r="G222" s="42"/>
      <c r="H222" s="45">
        <v>4958000</v>
      </c>
      <c r="I222" s="42"/>
      <c r="J222" s="45">
        <v>2648000</v>
      </c>
      <c r="K222" s="42"/>
      <c r="L222" s="45">
        <v>1454000</v>
      </c>
      <c r="M222" s="42"/>
      <c r="N222" s="45">
        <v>6195000</v>
      </c>
      <c r="O222" s="42"/>
      <c r="P222" s="45">
        <v>3237000</v>
      </c>
      <c r="Q222" s="42"/>
      <c r="R222" s="45">
        <v>372000</v>
      </c>
    </row>
    <row r="223" spans="1:18" x14ac:dyDescent="0.2">
      <c r="A223" s="42"/>
      <c r="B223" s="42"/>
      <c r="C223" s="42" t="s">
        <v>98</v>
      </c>
      <c r="D223" s="42"/>
      <c r="E223" s="42"/>
      <c r="F223" s="45">
        <v>1138000</v>
      </c>
      <c r="G223" s="42"/>
      <c r="H223" s="45">
        <v>996000</v>
      </c>
      <c r="I223" s="42"/>
      <c r="J223" s="45">
        <v>116000</v>
      </c>
      <c r="K223" s="42"/>
      <c r="L223" s="45">
        <v>26000</v>
      </c>
      <c r="M223" s="42"/>
      <c r="N223" s="45">
        <v>772000</v>
      </c>
      <c r="O223" s="42"/>
      <c r="P223" s="45">
        <v>366000</v>
      </c>
      <c r="Q223" s="42"/>
      <c r="R223" s="45">
        <v>0</v>
      </c>
    </row>
    <row r="224" spans="1:18" x14ac:dyDescent="0.2">
      <c r="A224" s="42"/>
      <c r="B224" s="42"/>
      <c r="C224" s="42" t="s">
        <v>99</v>
      </c>
      <c r="D224" s="42"/>
      <c r="E224" s="42"/>
      <c r="F224" s="45">
        <v>4000</v>
      </c>
      <c r="G224" s="42"/>
      <c r="H224" s="45">
        <v>0</v>
      </c>
      <c r="I224" s="42"/>
      <c r="J224" s="45">
        <v>4000</v>
      </c>
      <c r="K224" s="42"/>
      <c r="L224" s="45">
        <v>0</v>
      </c>
      <c r="M224" s="42"/>
      <c r="N224" s="45">
        <v>0</v>
      </c>
      <c r="O224" s="42"/>
      <c r="P224" s="45">
        <v>4000</v>
      </c>
      <c r="Q224" s="42"/>
      <c r="R224" s="45">
        <v>0</v>
      </c>
    </row>
    <row r="225" spans="1:18" x14ac:dyDescent="0.2">
      <c r="A225" s="42"/>
      <c r="B225" s="42"/>
      <c r="C225" s="42" t="s">
        <v>100</v>
      </c>
      <c r="D225" s="42"/>
      <c r="E225" s="42"/>
      <c r="F225" s="45">
        <v>4596000</v>
      </c>
      <c r="G225" s="42"/>
      <c r="H225" s="45">
        <v>3598000</v>
      </c>
      <c r="I225" s="42"/>
      <c r="J225" s="45">
        <v>443000</v>
      </c>
      <c r="K225" s="42"/>
      <c r="L225" s="45">
        <v>555000</v>
      </c>
      <c r="M225" s="42"/>
      <c r="N225" s="45">
        <v>2915000</v>
      </c>
      <c r="O225" s="42"/>
      <c r="P225" s="45">
        <v>1682000</v>
      </c>
      <c r="Q225" s="42"/>
      <c r="R225" s="45">
        <v>1000</v>
      </c>
    </row>
    <row r="226" spans="1:18" x14ac:dyDescent="0.2">
      <c r="A226" s="42"/>
      <c r="B226" s="42"/>
      <c r="C226" s="42" t="s">
        <v>101</v>
      </c>
      <c r="D226" s="42"/>
      <c r="E226" s="42"/>
      <c r="F226" s="45">
        <v>5210000</v>
      </c>
      <c r="G226" s="42"/>
      <c r="H226" s="45">
        <v>4844000</v>
      </c>
      <c r="I226" s="42"/>
      <c r="J226" s="45">
        <v>155000</v>
      </c>
      <c r="K226" s="42"/>
      <c r="L226" s="45">
        <v>211000</v>
      </c>
      <c r="M226" s="42"/>
      <c r="N226" s="45">
        <v>3518000</v>
      </c>
      <c r="O226" s="42"/>
      <c r="P226" s="45">
        <v>1772000</v>
      </c>
      <c r="Q226" s="42"/>
      <c r="R226" s="45">
        <v>80000</v>
      </c>
    </row>
    <row r="227" spans="1:18" x14ac:dyDescent="0.2">
      <c r="A227" s="42"/>
      <c r="B227" s="42"/>
      <c r="C227" s="42" t="s">
        <v>102</v>
      </c>
      <c r="D227" s="42"/>
      <c r="E227" s="42"/>
      <c r="F227" s="45">
        <v>6363000</v>
      </c>
      <c r="G227" s="42"/>
      <c r="H227" s="45">
        <v>4979000</v>
      </c>
      <c r="I227" s="42"/>
      <c r="J227" s="45">
        <v>627000</v>
      </c>
      <c r="K227" s="42"/>
      <c r="L227" s="45">
        <v>757000</v>
      </c>
      <c r="M227" s="42"/>
      <c r="N227" s="45">
        <v>4294000</v>
      </c>
      <c r="O227" s="42"/>
      <c r="P227" s="45">
        <v>2069000</v>
      </c>
      <c r="Q227" s="42"/>
      <c r="R227" s="45">
        <v>0</v>
      </c>
    </row>
    <row r="228" spans="1:18" x14ac:dyDescent="0.2">
      <c r="A228" s="42"/>
      <c r="B228" s="42"/>
      <c r="C228" s="42" t="s">
        <v>103</v>
      </c>
      <c r="D228" s="42"/>
      <c r="E228" s="42"/>
      <c r="F228" s="45">
        <v>20741000</v>
      </c>
      <c r="G228" s="42"/>
      <c r="H228" s="45">
        <v>16853000</v>
      </c>
      <c r="I228" s="42"/>
      <c r="J228" s="45">
        <v>2287000</v>
      </c>
      <c r="K228" s="42"/>
      <c r="L228" s="45">
        <v>1601000</v>
      </c>
      <c r="M228" s="42"/>
      <c r="N228" s="45">
        <v>13818000</v>
      </c>
      <c r="O228" s="42"/>
      <c r="P228" s="45">
        <v>6923000</v>
      </c>
      <c r="Q228" s="42"/>
      <c r="R228" s="45">
        <v>0</v>
      </c>
    </row>
    <row r="229" spans="1:18" x14ac:dyDescent="0.2">
      <c r="A229" s="42"/>
      <c r="B229" s="42"/>
      <c r="C229" s="42" t="s">
        <v>104</v>
      </c>
      <c r="D229" s="42"/>
      <c r="E229" s="42"/>
      <c r="F229" s="45">
        <v>343000</v>
      </c>
      <c r="G229" s="42"/>
      <c r="H229" s="45">
        <v>343000</v>
      </c>
      <c r="I229" s="42"/>
      <c r="J229" s="45">
        <v>0</v>
      </c>
      <c r="K229" s="42"/>
      <c r="L229" s="45">
        <v>0</v>
      </c>
      <c r="M229" s="42"/>
      <c r="N229" s="45">
        <v>235000</v>
      </c>
      <c r="O229" s="42"/>
      <c r="P229" s="45">
        <v>108000</v>
      </c>
      <c r="Q229" s="42"/>
      <c r="R229" s="45">
        <v>0</v>
      </c>
    </row>
    <row r="230" spans="1:18" x14ac:dyDescent="0.2">
      <c r="A230" s="42"/>
      <c r="B230" s="42"/>
      <c r="C230" s="42" t="s">
        <v>105</v>
      </c>
      <c r="D230" s="42"/>
      <c r="E230" s="42"/>
      <c r="F230" s="45">
        <v>13391000</v>
      </c>
      <c r="G230" s="42"/>
      <c r="H230" s="45">
        <v>12416000</v>
      </c>
      <c r="I230" s="42"/>
      <c r="J230" s="45">
        <v>468000</v>
      </c>
      <c r="K230" s="42"/>
      <c r="L230" s="45">
        <v>507000</v>
      </c>
      <c r="M230" s="42"/>
      <c r="N230" s="45">
        <v>9075000</v>
      </c>
      <c r="O230" s="42"/>
      <c r="P230" s="45">
        <v>4316000</v>
      </c>
      <c r="Q230" s="42"/>
      <c r="R230" s="45">
        <v>0</v>
      </c>
    </row>
    <row r="231" spans="1:18" x14ac:dyDescent="0.2">
      <c r="A231" s="42"/>
      <c r="B231" s="42"/>
      <c r="C231" s="42" t="s">
        <v>106</v>
      </c>
      <c r="D231" s="42"/>
      <c r="E231" s="42"/>
      <c r="F231" s="45">
        <v>5343000</v>
      </c>
      <c r="G231" s="42"/>
      <c r="H231" s="45">
        <v>5008000</v>
      </c>
      <c r="I231" s="42"/>
      <c r="J231" s="45">
        <v>255000</v>
      </c>
      <c r="K231" s="42"/>
      <c r="L231" s="45">
        <v>80000</v>
      </c>
      <c r="M231" s="42"/>
      <c r="N231" s="45">
        <v>3582000</v>
      </c>
      <c r="O231" s="42"/>
      <c r="P231" s="45">
        <v>1761000</v>
      </c>
      <c r="Q231" s="42"/>
      <c r="R231" s="45">
        <v>0</v>
      </c>
    </row>
    <row r="232" spans="1:18" x14ac:dyDescent="0.2">
      <c r="A232" s="42"/>
      <c r="B232" s="42"/>
      <c r="C232" s="42" t="s">
        <v>107</v>
      </c>
      <c r="D232" s="42"/>
      <c r="E232" s="42"/>
      <c r="F232" s="45">
        <v>2254000</v>
      </c>
      <c r="G232" s="42"/>
      <c r="H232" s="45">
        <v>1740000</v>
      </c>
      <c r="I232" s="42"/>
      <c r="J232" s="45">
        <v>446000</v>
      </c>
      <c r="K232" s="42"/>
      <c r="L232" s="45">
        <v>68000</v>
      </c>
      <c r="M232" s="42"/>
      <c r="N232" s="45">
        <v>1417000</v>
      </c>
      <c r="O232" s="42"/>
      <c r="P232" s="45">
        <v>837000</v>
      </c>
      <c r="Q232" s="42"/>
      <c r="R232" s="45">
        <v>0</v>
      </c>
    </row>
    <row r="233" spans="1:18" x14ac:dyDescent="0.2">
      <c r="A233" s="42"/>
      <c r="B233" s="42"/>
      <c r="C233" s="42" t="s">
        <v>108</v>
      </c>
      <c r="D233" s="42"/>
      <c r="E233" s="42"/>
      <c r="F233" s="45">
        <v>3845000</v>
      </c>
      <c r="G233" s="42"/>
      <c r="H233" s="45">
        <v>3591000</v>
      </c>
      <c r="I233" s="42"/>
      <c r="J233" s="45">
        <v>285000</v>
      </c>
      <c r="K233" s="42"/>
      <c r="L233" s="45">
        <v>-31000</v>
      </c>
      <c r="M233" s="42"/>
      <c r="N233" s="45">
        <v>2623000</v>
      </c>
      <c r="O233" s="42"/>
      <c r="P233" s="45">
        <v>1222000</v>
      </c>
      <c r="Q233" s="42"/>
      <c r="R233" s="45">
        <v>0</v>
      </c>
    </row>
    <row r="234" spans="1:18" x14ac:dyDescent="0.2">
      <c r="A234" s="42"/>
      <c r="B234" s="42"/>
      <c r="C234" s="42" t="s">
        <v>109</v>
      </c>
      <c r="D234" s="42"/>
      <c r="E234" s="42"/>
      <c r="F234" s="45">
        <v>3607000</v>
      </c>
      <c r="G234" s="42"/>
      <c r="H234" s="45">
        <v>3122000</v>
      </c>
      <c r="I234" s="42"/>
      <c r="J234" s="45">
        <v>267000</v>
      </c>
      <c r="K234" s="42"/>
      <c r="L234" s="45">
        <v>218000</v>
      </c>
      <c r="M234" s="42"/>
      <c r="N234" s="45">
        <v>2402000</v>
      </c>
      <c r="O234" s="42"/>
      <c r="P234" s="45">
        <v>1205000</v>
      </c>
      <c r="Q234" s="42"/>
      <c r="R234" s="45">
        <v>0</v>
      </c>
    </row>
    <row r="235" spans="1:18" x14ac:dyDescent="0.2">
      <c r="A235" s="42"/>
      <c r="B235" s="42"/>
      <c r="C235" s="42" t="s">
        <v>110</v>
      </c>
      <c r="D235" s="42"/>
      <c r="E235" s="42"/>
      <c r="F235" s="45">
        <v>2893000</v>
      </c>
      <c r="G235" s="42"/>
      <c r="H235" s="45">
        <v>2740000</v>
      </c>
      <c r="I235" s="42"/>
      <c r="J235" s="45">
        <v>50000</v>
      </c>
      <c r="K235" s="42"/>
      <c r="L235" s="45">
        <v>103000</v>
      </c>
      <c r="M235" s="42"/>
      <c r="N235" s="45">
        <v>1911000</v>
      </c>
      <c r="O235" s="42"/>
      <c r="P235" s="45">
        <v>982000</v>
      </c>
      <c r="Q235" s="42"/>
      <c r="R235" s="45">
        <v>0</v>
      </c>
    </row>
    <row r="236" spans="1:18" x14ac:dyDescent="0.2">
      <c r="A236" s="42"/>
      <c r="B236" s="42"/>
      <c r="C236" s="42" t="s">
        <v>111</v>
      </c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</row>
    <row r="237" spans="1:18" x14ac:dyDescent="0.2">
      <c r="A237" s="42"/>
      <c r="B237" s="42"/>
      <c r="C237" s="42"/>
      <c r="D237" s="42"/>
      <c r="E237" s="42" t="s">
        <v>97</v>
      </c>
      <c r="F237" s="45">
        <v>605000</v>
      </c>
      <c r="G237" s="42"/>
      <c r="H237" s="45">
        <v>583000</v>
      </c>
      <c r="I237" s="42"/>
      <c r="J237" s="45">
        <v>6000</v>
      </c>
      <c r="K237" s="42"/>
      <c r="L237" s="45">
        <v>16000</v>
      </c>
      <c r="M237" s="42"/>
      <c r="N237" s="45">
        <v>405000</v>
      </c>
      <c r="O237" s="42"/>
      <c r="P237" s="45">
        <v>200000</v>
      </c>
      <c r="Q237" s="42"/>
      <c r="R237" s="45">
        <v>0</v>
      </c>
    </row>
    <row r="238" spans="1:18" x14ac:dyDescent="0.2">
      <c r="A238" s="42"/>
      <c r="B238" s="42"/>
      <c r="C238" s="42" t="s">
        <v>112</v>
      </c>
      <c r="D238" s="42"/>
      <c r="E238" s="42"/>
      <c r="F238" s="45">
        <v>13795000</v>
      </c>
      <c r="G238" s="42"/>
      <c r="H238" s="45">
        <v>11512000</v>
      </c>
      <c r="I238" s="42"/>
      <c r="J238" s="45">
        <v>752000</v>
      </c>
      <c r="K238" s="42"/>
      <c r="L238" s="45">
        <v>1531000</v>
      </c>
      <c r="M238" s="42"/>
      <c r="N238" s="45">
        <v>8851000</v>
      </c>
      <c r="O238" s="42"/>
      <c r="P238" s="45">
        <v>4944000</v>
      </c>
      <c r="Q238" s="42"/>
      <c r="R238" s="45">
        <v>0</v>
      </c>
    </row>
    <row r="239" spans="1:18" x14ac:dyDescent="0.2">
      <c r="A239" s="42"/>
      <c r="B239" s="42"/>
      <c r="C239" s="42" t="s">
        <v>113</v>
      </c>
      <c r="D239" s="42"/>
      <c r="E239" s="42"/>
      <c r="F239" s="45">
        <v>499000</v>
      </c>
      <c r="G239" s="42"/>
      <c r="H239" s="45">
        <v>164000</v>
      </c>
      <c r="I239" s="42"/>
      <c r="J239" s="45">
        <v>57000</v>
      </c>
      <c r="K239" s="42"/>
      <c r="L239" s="45">
        <v>278000</v>
      </c>
      <c r="M239" s="42"/>
      <c r="N239" s="45">
        <v>278000</v>
      </c>
      <c r="O239" s="42"/>
      <c r="P239" s="45">
        <v>221000</v>
      </c>
      <c r="Q239" s="42"/>
      <c r="R239" s="45">
        <v>0</v>
      </c>
    </row>
    <row r="240" spans="1:18" x14ac:dyDescent="0.2">
      <c r="A240" s="42"/>
      <c r="B240" s="42"/>
      <c r="C240" s="42" t="s">
        <v>114</v>
      </c>
      <c r="D240" s="42"/>
      <c r="E240" s="42"/>
      <c r="F240" s="45">
        <v>13542000</v>
      </c>
      <c r="G240" s="42"/>
      <c r="H240" s="45">
        <v>10415000</v>
      </c>
      <c r="I240" s="42"/>
      <c r="J240" s="45">
        <v>1896000</v>
      </c>
      <c r="K240" s="42"/>
      <c r="L240" s="45">
        <v>1231000</v>
      </c>
      <c r="M240" s="42"/>
      <c r="N240" s="45">
        <v>8264000</v>
      </c>
      <c r="O240" s="42"/>
      <c r="P240" s="45">
        <v>5278000</v>
      </c>
      <c r="Q240" s="42"/>
      <c r="R240" s="45">
        <v>0</v>
      </c>
    </row>
    <row r="241" spans="1:18" x14ac:dyDescent="0.2">
      <c r="A241" s="42"/>
      <c r="B241" s="42"/>
      <c r="C241" s="42" t="s">
        <v>115</v>
      </c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</row>
    <row r="242" spans="1:18" x14ac:dyDescent="0.2">
      <c r="A242" s="42"/>
      <c r="B242" s="42"/>
      <c r="C242" s="42"/>
      <c r="D242" s="42"/>
      <c r="E242" s="42" t="s">
        <v>116</v>
      </c>
      <c r="F242" s="45">
        <v>3306000</v>
      </c>
      <c r="G242" s="42"/>
      <c r="H242" s="45">
        <v>2724000</v>
      </c>
      <c r="I242" s="42"/>
      <c r="J242" s="45">
        <v>420000</v>
      </c>
      <c r="K242" s="42"/>
      <c r="L242" s="45">
        <v>162000</v>
      </c>
      <c r="M242" s="42"/>
      <c r="N242" s="45">
        <v>2121000</v>
      </c>
      <c r="O242" s="42"/>
      <c r="P242" s="45">
        <v>1185000</v>
      </c>
      <c r="Q242" s="42"/>
      <c r="R242" s="45">
        <v>0</v>
      </c>
    </row>
    <row r="243" spans="1:18" x14ac:dyDescent="0.2">
      <c r="A243" s="42"/>
      <c r="B243" s="42"/>
      <c r="C243" s="42" t="s">
        <v>117</v>
      </c>
      <c r="D243" s="42"/>
      <c r="E243" s="42"/>
      <c r="F243" s="45">
        <v>1730000</v>
      </c>
      <c r="G243" s="42"/>
      <c r="H243" s="45">
        <v>1626000</v>
      </c>
      <c r="I243" s="42"/>
      <c r="J243" s="45">
        <v>0</v>
      </c>
      <c r="K243" s="42"/>
      <c r="L243" s="45">
        <v>104000</v>
      </c>
      <c r="M243" s="42"/>
      <c r="N243" s="45">
        <v>1225000</v>
      </c>
      <c r="O243" s="42"/>
      <c r="P243" s="45">
        <v>505000</v>
      </c>
      <c r="Q243" s="42"/>
      <c r="R243" s="45">
        <v>0</v>
      </c>
    </row>
    <row r="244" spans="1:18" x14ac:dyDescent="0.2">
      <c r="A244" s="42"/>
      <c r="B244" s="42"/>
      <c r="C244" s="42" t="s">
        <v>118</v>
      </c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</row>
    <row r="245" spans="1:18" x14ac:dyDescent="0.2">
      <c r="A245" s="42"/>
      <c r="B245" s="42"/>
      <c r="C245" s="42"/>
      <c r="D245" s="42"/>
      <c r="E245" s="42" t="s">
        <v>97</v>
      </c>
      <c r="F245" s="45">
        <v>412000</v>
      </c>
      <c r="G245" s="42"/>
      <c r="H245" s="45">
        <v>413000</v>
      </c>
      <c r="I245" s="42"/>
      <c r="J245" s="45">
        <v>-1000</v>
      </c>
      <c r="K245" s="42"/>
      <c r="L245" s="45">
        <v>0</v>
      </c>
      <c r="M245" s="42"/>
      <c r="N245" s="45">
        <v>280000</v>
      </c>
      <c r="O245" s="42"/>
      <c r="P245" s="45">
        <v>132000</v>
      </c>
      <c r="Q245" s="42"/>
      <c r="R245" s="45">
        <v>0</v>
      </c>
    </row>
    <row r="246" spans="1:18" x14ac:dyDescent="0.2">
      <c r="A246" s="42"/>
      <c r="B246" s="42"/>
      <c r="C246" s="42" t="s">
        <v>119</v>
      </c>
      <c r="D246" s="42"/>
      <c r="E246" s="42"/>
      <c r="F246" s="45">
        <v>287000</v>
      </c>
      <c r="G246" s="42"/>
      <c r="H246" s="45">
        <v>11000</v>
      </c>
      <c r="I246" s="42"/>
      <c r="J246" s="45">
        <v>134000</v>
      </c>
      <c r="K246" s="42"/>
      <c r="L246" s="45">
        <v>142000</v>
      </c>
      <c r="M246" s="42"/>
      <c r="N246" s="45">
        <v>192000</v>
      </c>
      <c r="O246" s="42"/>
      <c r="P246" s="45">
        <v>95000</v>
      </c>
      <c r="Q246" s="42"/>
      <c r="R246" s="45">
        <v>0</v>
      </c>
    </row>
    <row r="247" spans="1:18" x14ac:dyDescent="0.2">
      <c r="A247" s="42"/>
      <c r="B247" s="42"/>
      <c r="C247" s="42" t="s">
        <v>120</v>
      </c>
      <c r="D247" s="42"/>
      <c r="E247" s="42"/>
      <c r="F247" s="45">
        <v>1136000</v>
      </c>
      <c r="G247" s="42"/>
      <c r="H247" s="45">
        <v>982000</v>
      </c>
      <c r="I247" s="42"/>
      <c r="J247" s="45">
        <v>123000</v>
      </c>
      <c r="K247" s="42"/>
      <c r="L247" s="45">
        <v>31000</v>
      </c>
      <c r="M247" s="42"/>
      <c r="N247" s="45">
        <v>740000</v>
      </c>
      <c r="O247" s="42"/>
      <c r="P247" s="45">
        <v>407000</v>
      </c>
      <c r="Q247" s="42"/>
      <c r="R247" s="45">
        <v>11000</v>
      </c>
    </row>
    <row r="248" spans="1:18" x14ac:dyDescent="0.2">
      <c r="A248" s="42"/>
      <c r="B248" s="42"/>
      <c r="C248" s="42" t="s">
        <v>121</v>
      </c>
      <c r="D248" s="42"/>
      <c r="E248" s="42"/>
      <c r="F248" s="45">
        <v>3410000</v>
      </c>
      <c r="G248" s="42"/>
      <c r="H248" s="45">
        <v>3007000</v>
      </c>
      <c r="I248" s="42"/>
      <c r="J248" s="45">
        <v>329000</v>
      </c>
      <c r="K248" s="42"/>
      <c r="L248" s="45">
        <v>74000</v>
      </c>
      <c r="M248" s="42"/>
      <c r="N248" s="45">
        <v>2250000</v>
      </c>
      <c r="O248" s="42"/>
      <c r="P248" s="45">
        <v>1160000</v>
      </c>
      <c r="Q248" s="42"/>
      <c r="R248" s="45">
        <v>0</v>
      </c>
    </row>
    <row r="249" spans="1:18" x14ac:dyDescent="0.2">
      <c r="A249" s="42"/>
      <c r="B249" s="42"/>
      <c r="C249" s="42" t="s">
        <v>122</v>
      </c>
      <c r="D249" s="42"/>
      <c r="E249" s="42"/>
      <c r="F249" s="45">
        <v>18996000</v>
      </c>
      <c r="G249" s="42"/>
      <c r="H249" s="45">
        <v>16115000</v>
      </c>
      <c r="I249" s="42"/>
      <c r="J249" s="45">
        <v>2531000</v>
      </c>
      <c r="K249" s="42"/>
      <c r="L249" s="45">
        <v>350000</v>
      </c>
      <c r="M249" s="42"/>
      <c r="N249" s="45">
        <v>12561000</v>
      </c>
      <c r="O249" s="42"/>
      <c r="P249" s="45">
        <v>6435000</v>
      </c>
      <c r="Q249" s="42"/>
      <c r="R249" s="45">
        <v>0</v>
      </c>
    </row>
    <row r="250" spans="1:18" x14ac:dyDescent="0.2">
      <c r="A250" s="42"/>
      <c r="B250" s="42"/>
      <c r="C250" s="42" t="s">
        <v>123</v>
      </c>
      <c r="D250" s="42"/>
      <c r="E250" s="42"/>
      <c r="F250" s="45">
        <v>30000</v>
      </c>
      <c r="G250" s="42"/>
      <c r="H250" s="45">
        <v>1000</v>
      </c>
      <c r="I250" s="42"/>
      <c r="J250" s="45">
        <v>1000</v>
      </c>
      <c r="K250" s="42"/>
      <c r="L250" s="45">
        <v>28000</v>
      </c>
      <c r="M250" s="42"/>
      <c r="N250" s="45">
        <v>15000</v>
      </c>
      <c r="O250" s="42"/>
      <c r="P250" s="45">
        <v>15000</v>
      </c>
      <c r="Q250" s="42"/>
      <c r="R250" s="45">
        <v>0</v>
      </c>
    </row>
    <row r="251" spans="1:18" x14ac:dyDescent="0.2">
      <c r="A251" s="42"/>
      <c r="B251" s="42"/>
      <c r="C251" s="42" t="s">
        <v>124</v>
      </c>
      <c r="D251" s="42"/>
      <c r="E251" s="42"/>
      <c r="F251" s="45">
        <v>0</v>
      </c>
      <c r="G251" s="42"/>
      <c r="H251" s="45">
        <v>0</v>
      </c>
      <c r="I251" s="42"/>
      <c r="J251" s="45">
        <v>0</v>
      </c>
      <c r="K251" s="42"/>
      <c r="L251" s="45">
        <v>0</v>
      </c>
      <c r="M251" s="42"/>
      <c r="N251" s="45">
        <v>0</v>
      </c>
      <c r="O251" s="42"/>
      <c r="P251" s="45">
        <v>0</v>
      </c>
      <c r="Q251" s="42"/>
      <c r="R251" s="45">
        <v>0</v>
      </c>
    </row>
    <row r="252" spans="1:18" x14ac:dyDescent="0.2">
      <c r="A252" s="42"/>
      <c r="B252" s="42"/>
      <c r="C252" s="42" t="s">
        <v>125</v>
      </c>
      <c r="D252" s="42"/>
      <c r="E252" s="42"/>
      <c r="F252" s="45">
        <v>22484000</v>
      </c>
      <c r="G252" s="42"/>
      <c r="H252" s="45">
        <v>17155000</v>
      </c>
      <c r="I252" s="42"/>
      <c r="J252" s="45">
        <v>3160000</v>
      </c>
      <c r="K252" s="42"/>
      <c r="L252" s="45">
        <v>2169000</v>
      </c>
      <c r="M252" s="42"/>
      <c r="N252" s="45">
        <v>12772000</v>
      </c>
      <c r="O252" s="42"/>
      <c r="P252" s="45">
        <v>9712000</v>
      </c>
      <c r="Q252" s="42"/>
      <c r="R252" s="45">
        <v>0</v>
      </c>
    </row>
    <row r="253" spans="1:18" x14ac:dyDescent="0.2">
      <c r="A253" s="42"/>
      <c r="B253" s="42"/>
      <c r="C253" s="42" t="s">
        <v>126</v>
      </c>
      <c r="D253" s="42"/>
      <c r="E253" s="42"/>
      <c r="F253" s="45">
        <v>5900000</v>
      </c>
      <c r="G253" s="42"/>
      <c r="H253" s="45">
        <v>4520000</v>
      </c>
      <c r="I253" s="42"/>
      <c r="J253" s="45">
        <v>387000</v>
      </c>
      <c r="K253" s="42"/>
      <c r="L253" s="45">
        <v>993000</v>
      </c>
      <c r="M253" s="42"/>
      <c r="N253" s="45">
        <v>3686000</v>
      </c>
      <c r="O253" s="42"/>
      <c r="P253" s="45">
        <v>2214000</v>
      </c>
      <c r="Q253" s="42"/>
      <c r="R253" s="45">
        <v>0</v>
      </c>
    </row>
    <row r="254" spans="1:18" x14ac:dyDescent="0.2">
      <c r="A254" s="42"/>
      <c r="B254" s="42"/>
      <c r="C254" s="42" t="s">
        <v>127</v>
      </c>
      <c r="D254" s="42"/>
      <c r="E254" s="42"/>
      <c r="F254" s="45">
        <v>4005000</v>
      </c>
      <c r="G254" s="42"/>
      <c r="H254" s="45">
        <v>3484000</v>
      </c>
      <c r="I254" s="42"/>
      <c r="J254" s="45">
        <v>143000</v>
      </c>
      <c r="K254" s="42"/>
      <c r="L254" s="45">
        <v>378000</v>
      </c>
      <c r="M254" s="42"/>
      <c r="N254" s="45">
        <v>2666000</v>
      </c>
      <c r="O254" s="42"/>
      <c r="P254" s="45">
        <v>1339000</v>
      </c>
      <c r="Q254" s="42"/>
      <c r="R254" s="45">
        <v>0</v>
      </c>
    </row>
    <row r="255" spans="1:18" x14ac:dyDescent="0.2">
      <c r="A255" s="42"/>
      <c r="B255" s="42"/>
      <c r="C255" s="42" t="s">
        <v>128</v>
      </c>
      <c r="D255" s="42"/>
      <c r="E255" s="42"/>
      <c r="F255" s="45">
        <v>6175000</v>
      </c>
      <c r="G255" s="42"/>
      <c r="H255" s="45">
        <v>4730000</v>
      </c>
      <c r="I255" s="42"/>
      <c r="J255" s="45">
        <v>716000</v>
      </c>
      <c r="K255" s="42"/>
      <c r="L255" s="45">
        <v>729000</v>
      </c>
      <c r="M255" s="42"/>
      <c r="N255" s="45">
        <v>4011000</v>
      </c>
      <c r="O255" s="42"/>
      <c r="P255" s="45">
        <v>2164000</v>
      </c>
      <c r="Q255" s="42"/>
      <c r="R255" s="45">
        <v>0</v>
      </c>
    </row>
    <row r="256" spans="1:18" x14ac:dyDescent="0.2">
      <c r="A256" s="42"/>
      <c r="B256" s="42"/>
      <c r="C256" s="42" t="s">
        <v>129</v>
      </c>
      <c r="D256" s="42"/>
      <c r="E256" s="42"/>
      <c r="F256" s="45">
        <v>1485000</v>
      </c>
      <c r="G256" s="42"/>
      <c r="H256" s="45">
        <v>1175000</v>
      </c>
      <c r="I256" s="42"/>
      <c r="J256" s="45">
        <v>165000</v>
      </c>
      <c r="K256" s="42"/>
      <c r="L256" s="45">
        <v>145000</v>
      </c>
      <c r="M256" s="42"/>
      <c r="N256" s="45">
        <v>1036000</v>
      </c>
      <c r="O256" s="42"/>
      <c r="P256" s="45">
        <v>449000</v>
      </c>
      <c r="Q256" s="42"/>
      <c r="R256" s="45">
        <v>0</v>
      </c>
    </row>
    <row r="257" spans="1:18" x14ac:dyDescent="0.2">
      <c r="A257" s="42"/>
      <c r="B257" s="42"/>
      <c r="C257" s="42" t="s">
        <v>130</v>
      </c>
      <c r="D257" s="42"/>
      <c r="E257" s="42"/>
      <c r="F257" s="45">
        <v>1316000</v>
      </c>
      <c r="G257" s="42"/>
      <c r="H257" s="45">
        <v>507000</v>
      </c>
      <c r="I257" s="42"/>
      <c r="J257" s="45">
        <v>20000</v>
      </c>
      <c r="K257" s="42"/>
      <c r="L257" s="45">
        <v>789000</v>
      </c>
      <c r="M257" s="42"/>
      <c r="N257" s="45">
        <v>692000</v>
      </c>
      <c r="O257" s="42"/>
      <c r="P257" s="45">
        <v>624000</v>
      </c>
      <c r="Q257" s="42"/>
      <c r="R257" s="45">
        <v>0</v>
      </c>
    </row>
    <row r="258" spans="1:18" x14ac:dyDescent="0.2">
      <c r="A258" s="42"/>
      <c r="B258" s="42"/>
      <c r="C258" s="42" t="s">
        <v>131</v>
      </c>
      <c r="D258" s="42"/>
      <c r="E258" s="42"/>
      <c r="F258" s="45">
        <v>20672000</v>
      </c>
      <c r="G258" s="42"/>
      <c r="H258" s="45">
        <v>15127000</v>
      </c>
      <c r="I258" s="42"/>
      <c r="J258" s="45">
        <v>4424000</v>
      </c>
      <c r="K258" s="42"/>
      <c r="L258" s="45">
        <v>1121000</v>
      </c>
      <c r="M258" s="42"/>
      <c r="N258" s="45">
        <v>12893000</v>
      </c>
      <c r="O258" s="42"/>
      <c r="P258" s="45">
        <v>8289000</v>
      </c>
      <c r="Q258" s="42"/>
      <c r="R258" s="45">
        <v>510000</v>
      </c>
    </row>
    <row r="259" spans="1:18" x14ac:dyDescent="0.2">
      <c r="A259" s="42"/>
      <c r="B259" s="42"/>
      <c r="C259" s="42" t="s">
        <v>132</v>
      </c>
      <c r="D259" s="42"/>
      <c r="E259" s="42"/>
      <c r="F259" s="45">
        <v>11881000</v>
      </c>
      <c r="G259" s="42"/>
      <c r="H259" s="45">
        <v>10832000</v>
      </c>
      <c r="I259" s="42"/>
      <c r="J259" s="45">
        <v>587000</v>
      </c>
      <c r="K259" s="42"/>
      <c r="L259" s="45">
        <v>462000</v>
      </c>
      <c r="M259" s="42"/>
      <c r="N259" s="45">
        <v>7906000</v>
      </c>
      <c r="O259" s="42"/>
      <c r="P259" s="45">
        <v>3968000</v>
      </c>
      <c r="Q259" s="42"/>
      <c r="R259" s="45">
        <v>-7000</v>
      </c>
    </row>
    <row r="260" spans="1:18" x14ac:dyDescent="0.2">
      <c r="A260" s="42"/>
      <c r="B260" s="42"/>
      <c r="C260" s="42" t="s">
        <v>133</v>
      </c>
      <c r="D260" s="42"/>
      <c r="E260" s="42"/>
      <c r="F260" s="45">
        <v>12593000</v>
      </c>
      <c r="G260" s="42"/>
      <c r="H260" s="45">
        <v>10920000</v>
      </c>
      <c r="I260" s="42"/>
      <c r="J260" s="45">
        <v>1470000</v>
      </c>
      <c r="K260" s="42"/>
      <c r="L260" s="45">
        <v>203000</v>
      </c>
      <c r="M260" s="42"/>
      <c r="N260" s="45">
        <v>8492000</v>
      </c>
      <c r="O260" s="42"/>
      <c r="P260" s="45">
        <v>4106000</v>
      </c>
      <c r="Q260" s="42"/>
      <c r="R260" s="45">
        <v>5000</v>
      </c>
    </row>
    <row r="261" spans="1:18" x14ac:dyDescent="0.2">
      <c r="A261" s="42"/>
      <c r="B261" s="42"/>
      <c r="C261" s="42" t="s">
        <v>134</v>
      </c>
      <c r="D261" s="42"/>
      <c r="E261" s="42"/>
      <c r="F261" s="45">
        <v>3287000</v>
      </c>
      <c r="G261" s="42"/>
      <c r="H261" s="45">
        <v>2826000</v>
      </c>
      <c r="I261" s="42"/>
      <c r="J261" s="45">
        <v>307000</v>
      </c>
      <c r="K261" s="42"/>
      <c r="L261" s="45">
        <v>154000</v>
      </c>
      <c r="M261" s="42"/>
      <c r="N261" s="45">
        <v>2163000</v>
      </c>
      <c r="O261" s="42"/>
      <c r="P261" s="45">
        <v>1124000</v>
      </c>
      <c r="Q261" s="42"/>
      <c r="R261" s="45">
        <v>0</v>
      </c>
    </row>
    <row r="262" spans="1:18" x14ac:dyDescent="0.2">
      <c r="A262" s="42"/>
      <c r="B262" s="42"/>
      <c r="C262" s="42" t="s">
        <v>135</v>
      </c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</row>
    <row r="263" spans="1:18" x14ac:dyDescent="0.2">
      <c r="A263" s="42"/>
      <c r="B263" s="42"/>
      <c r="C263" s="42"/>
      <c r="D263" s="42"/>
      <c r="E263" s="42" t="s">
        <v>97</v>
      </c>
      <c r="F263" s="45">
        <v>449000</v>
      </c>
      <c r="G263" s="42"/>
      <c r="H263" s="45">
        <v>437000</v>
      </c>
      <c r="I263" s="42"/>
      <c r="J263" s="45">
        <v>1000</v>
      </c>
      <c r="K263" s="42"/>
      <c r="L263" s="45">
        <v>11000</v>
      </c>
      <c r="M263" s="42"/>
      <c r="N263" s="45">
        <v>289000</v>
      </c>
      <c r="O263" s="42"/>
      <c r="P263" s="45">
        <v>160000</v>
      </c>
      <c r="Q263" s="42"/>
      <c r="R263" s="45">
        <v>0</v>
      </c>
    </row>
    <row r="264" spans="1:18" x14ac:dyDescent="0.2">
      <c r="A264" s="42"/>
      <c r="B264" s="42"/>
      <c r="C264" s="42" t="s">
        <v>136</v>
      </c>
      <c r="D264" s="42"/>
      <c r="E264" s="42"/>
      <c r="F264" s="45">
        <v>328000</v>
      </c>
      <c r="G264" s="42"/>
      <c r="H264" s="45">
        <v>235000</v>
      </c>
      <c r="I264" s="42"/>
      <c r="J264" s="45">
        <v>8000</v>
      </c>
      <c r="K264" s="42"/>
      <c r="L264" s="45">
        <v>85000</v>
      </c>
      <c r="M264" s="42"/>
      <c r="N264" s="45">
        <v>133000</v>
      </c>
      <c r="O264" s="42"/>
      <c r="P264" s="45">
        <v>195000</v>
      </c>
      <c r="Q264" s="42"/>
      <c r="R264" s="45">
        <v>0</v>
      </c>
    </row>
    <row r="265" spans="1:18" x14ac:dyDescent="0.2">
      <c r="A265" s="42"/>
      <c r="B265" s="42"/>
      <c r="C265" s="42" t="s">
        <v>137</v>
      </c>
      <c r="D265" s="42"/>
      <c r="E265" s="42"/>
      <c r="F265" s="45">
        <v>1590000</v>
      </c>
      <c r="G265" s="42"/>
      <c r="H265" s="45">
        <v>1442000</v>
      </c>
      <c r="I265" s="42"/>
      <c r="J265" s="45">
        <v>80000</v>
      </c>
      <c r="K265" s="42"/>
      <c r="L265" s="45">
        <v>68000</v>
      </c>
      <c r="M265" s="42"/>
      <c r="N265" s="45">
        <v>1108000</v>
      </c>
      <c r="O265" s="42"/>
      <c r="P265" s="45">
        <v>482000</v>
      </c>
      <c r="Q265" s="42"/>
      <c r="R265" s="45">
        <v>0</v>
      </c>
    </row>
    <row r="266" spans="1:18" x14ac:dyDescent="0.2">
      <c r="A266" s="42"/>
      <c r="B266" s="42"/>
      <c r="C266" s="42" t="s">
        <v>138</v>
      </c>
      <c r="D266" s="42"/>
      <c r="E266" s="42"/>
      <c r="F266" s="45">
        <v>2414000</v>
      </c>
      <c r="G266" s="42"/>
      <c r="H266" s="45">
        <v>2172000</v>
      </c>
      <c r="I266" s="42"/>
      <c r="J266" s="45">
        <v>17000</v>
      </c>
      <c r="K266" s="42"/>
      <c r="L266" s="45">
        <v>225000</v>
      </c>
      <c r="M266" s="42"/>
      <c r="N266" s="45">
        <v>1660000</v>
      </c>
      <c r="O266" s="42"/>
      <c r="P266" s="45">
        <v>754000</v>
      </c>
      <c r="Q266" s="42"/>
      <c r="R266" s="45">
        <v>0</v>
      </c>
    </row>
    <row r="267" spans="1:18" x14ac:dyDescent="0.2">
      <c r="A267" s="42"/>
      <c r="B267" s="42"/>
      <c r="C267" s="42" t="s">
        <v>139</v>
      </c>
      <c r="D267" s="42"/>
      <c r="E267" s="42"/>
      <c r="F267" s="45">
        <v>50000</v>
      </c>
      <c r="G267" s="42"/>
      <c r="H267" s="45">
        <v>0</v>
      </c>
      <c r="I267" s="42"/>
      <c r="J267" s="45">
        <v>37000</v>
      </c>
      <c r="K267" s="42"/>
      <c r="L267" s="45">
        <v>13000</v>
      </c>
      <c r="M267" s="42"/>
      <c r="N267" s="45">
        <v>25000</v>
      </c>
      <c r="O267" s="42"/>
      <c r="P267" s="45">
        <v>25000</v>
      </c>
      <c r="Q267" s="42"/>
      <c r="R267" s="45">
        <v>0</v>
      </c>
    </row>
    <row r="268" spans="1:18" x14ac:dyDescent="0.2">
      <c r="A268" s="42"/>
      <c r="B268" s="42"/>
      <c r="C268" s="42" t="s">
        <v>140</v>
      </c>
      <c r="D268" s="42"/>
      <c r="E268" s="42"/>
      <c r="F268" s="45">
        <v>1115000</v>
      </c>
      <c r="G268" s="42"/>
      <c r="H268" s="45">
        <v>424000</v>
      </c>
      <c r="I268" s="42"/>
      <c r="J268" s="45">
        <v>30000</v>
      </c>
      <c r="K268" s="42"/>
      <c r="L268" s="45">
        <v>661000</v>
      </c>
      <c r="M268" s="42"/>
      <c r="N268" s="45">
        <v>384000</v>
      </c>
      <c r="O268" s="42"/>
      <c r="P268" s="45">
        <v>733000</v>
      </c>
      <c r="Q268" s="42"/>
      <c r="R268" s="45">
        <v>2000</v>
      </c>
    </row>
    <row r="269" spans="1:18" x14ac:dyDescent="0.2">
      <c r="A269" s="42"/>
      <c r="B269" s="42"/>
      <c r="C269" s="42" t="s">
        <v>141</v>
      </c>
      <c r="D269" s="42"/>
      <c r="E269" s="42"/>
      <c r="F269" s="45">
        <v>11530000</v>
      </c>
      <c r="G269" s="42"/>
      <c r="H269" s="45">
        <v>8527000</v>
      </c>
      <c r="I269" s="42"/>
      <c r="J269" s="45">
        <v>2735000</v>
      </c>
      <c r="K269" s="42"/>
      <c r="L269" s="45">
        <v>268000</v>
      </c>
      <c r="M269" s="42"/>
      <c r="N269" s="45">
        <v>7240000</v>
      </c>
      <c r="O269" s="42"/>
      <c r="P269" s="45">
        <v>4290000</v>
      </c>
      <c r="Q269" s="42"/>
      <c r="R269" s="45">
        <v>0</v>
      </c>
    </row>
    <row r="270" spans="1:18" x14ac:dyDescent="0.2">
      <c r="A270" s="42"/>
      <c r="B270" s="42"/>
      <c r="C270" s="42" t="s">
        <v>142</v>
      </c>
      <c r="D270" s="42"/>
      <c r="E270" s="42"/>
      <c r="F270" s="45">
        <v>3074000</v>
      </c>
      <c r="G270" s="42"/>
      <c r="H270" s="45">
        <v>2334000</v>
      </c>
      <c r="I270" s="42"/>
      <c r="J270" s="45">
        <v>292000</v>
      </c>
      <c r="K270" s="42"/>
      <c r="L270" s="45">
        <v>448000</v>
      </c>
      <c r="M270" s="42"/>
      <c r="N270" s="45">
        <v>2140000</v>
      </c>
      <c r="O270" s="42"/>
      <c r="P270" s="45">
        <v>934000</v>
      </c>
      <c r="Q270" s="42"/>
      <c r="R270" s="45">
        <v>0</v>
      </c>
    </row>
    <row r="271" spans="1:18" x14ac:dyDescent="0.2">
      <c r="A271" s="42"/>
      <c r="B271" s="42"/>
      <c r="C271" s="42" t="s">
        <v>143</v>
      </c>
      <c r="D271" s="42"/>
      <c r="E271" s="42"/>
      <c r="F271" s="45">
        <v>3456000</v>
      </c>
      <c r="G271" s="42"/>
      <c r="H271" s="45">
        <v>2939000</v>
      </c>
      <c r="I271" s="42"/>
      <c r="J271" s="45">
        <v>421000</v>
      </c>
      <c r="K271" s="42"/>
      <c r="L271" s="45">
        <v>96000</v>
      </c>
      <c r="M271" s="42"/>
      <c r="N271" s="45">
        <v>2232000</v>
      </c>
      <c r="O271" s="42"/>
      <c r="P271" s="45">
        <v>1224000</v>
      </c>
      <c r="Q271" s="42"/>
      <c r="R271" s="45">
        <v>0</v>
      </c>
    </row>
    <row r="272" spans="1:18" x14ac:dyDescent="0.2">
      <c r="A272" s="42"/>
      <c r="B272" s="42"/>
      <c r="C272" s="42" t="s">
        <v>144</v>
      </c>
      <c r="D272" s="42"/>
      <c r="E272" s="42"/>
      <c r="F272" s="45">
        <v>8507000</v>
      </c>
      <c r="G272" s="42"/>
      <c r="H272" s="45">
        <v>7271000</v>
      </c>
      <c r="I272" s="42"/>
      <c r="J272" s="45">
        <v>990000</v>
      </c>
      <c r="K272" s="42"/>
      <c r="L272" s="45">
        <v>246000</v>
      </c>
      <c r="M272" s="42"/>
      <c r="N272" s="45">
        <v>5585000</v>
      </c>
      <c r="O272" s="42"/>
      <c r="P272" s="45">
        <v>2922000</v>
      </c>
      <c r="Q272" s="42"/>
      <c r="R272" s="45">
        <v>0</v>
      </c>
    </row>
    <row r="273" spans="1:18" x14ac:dyDescent="0.2">
      <c r="A273" s="42"/>
      <c r="B273" s="42"/>
      <c r="C273" s="42" t="s">
        <v>145</v>
      </c>
      <c r="D273" s="42"/>
      <c r="E273" s="42"/>
      <c r="F273" s="45">
        <v>201000</v>
      </c>
      <c r="G273" s="42"/>
      <c r="H273" s="45">
        <v>0</v>
      </c>
      <c r="I273" s="42"/>
      <c r="J273" s="45">
        <v>0</v>
      </c>
      <c r="K273" s="42"/>
      <c r="L273" s="45">
        <v>201000</v>
      </c>
      <c r="M273" s="42"/>
      <c r="N273" s="45">
        <v>156000</v>
      </c>
      <c r="O273" s="42"/>
      <c r="P273" s="45">
        <v>45000</v>
      </c>
      <c r="Q273" s="42"/>
      <c r="R273" s="45">
        <v>0</v>
      </c>
    </row>
    <row r="274" spans="1:18" x14ac:dyDescent="0.2">
      <c r="A274" s="42"/>
      <c r="B274" s="42"/>
      <c r="C274" s="42" t="s">
        <v>146</v>
      </c>
      <c r="D274" s="42"/>
      <c r="E274" s="42"/>
      <c r="F274" s="45">
        <v>3544000</v>
      </c>
      <c r="G274" s="42"/>
      <c r="H274" s="45">
        <v>2760000</v>
      </c>
      <c r="I274" s="42"/>
      <c r="J274" s="45">
        <v>696000</v>
      </c>
      <c r="K274" s="42"/>
      <c r="L274" s="45">
        <v>88000</v>
      </c>
      <c r="M274" s="42"/>
      <c r="N274" s="45">
        <v>2329000</v>
      </c>
      <c r="O274" s="42"/>
      <c r="P274" s="45">
        <v>1215000</v>
      </c>
      <c r="Q274" s="42"/>
      <c r="R274" s="45">
        <v>0</v>
      </c>
    </row>
    <row r="275" spans="1:18" x14ac:dyDescent="0.2">
      <c r="A275" s="42"/>
      <c r="B275" s="42"/>
      <c r="C275" s="42" t="s">
        <v>147</v>
      </c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</row>
    <row r="276" spans="1:18" x14ac:dyDescent="0.2">
      <c r="A276" s="42"/>
      <c r="B276" s="42"/>
      <c r="C276" s="42"/>
      <c r="D276" s="42"/>
      <c r="E276" s="42" t="s">
        <v>148</v>
      </c>
      <c r="F276" s="45">
        <v>7073000</v>
      </c>
      <c r="G276" s="42"/>
      <c r="H276" s="45">
        <v>5684000</v>
      </c>
      <c r="I276" s="42"/>
      <c r="J276" s="45">
        <v>324000</v>
      </c>
      <c r="K276" s="42"/>
      <c r="L276" s="45">
        <v>1065000</v>
      </c>
      <c r="M276" s="42"/>
      <c r="N276" s="45">
        <v>4353000</v>
      </c>
      <c r="O276" s="42"/>
      <c r="P276" s="45">
        <v>2720000</v>
      </c>
      <c r="Q276" s="42"/>
      <c r="R276" s="45">
        <v>0</v>
      </c>
    </row>
    <row r="277" spans="1:18" x14ac:dyDescent="0.2">
      <c r="A277" s="42"/>
      <c r="B277" s="42"/>
      <c r="C277" s="42" t="s">
        <v>149</v>
      </c>
      <c r="D277" s="42"/>
      <c r="E277" s="42"/>
      <c r="F277" s="45">
        <v>0</v>
      </c>
      <c r="G277" s="42"/>
      <c r="H277" s="45">
        <v>0</v>
      </c>
      <c r="I277" s="42"/>
      <c r="J277" s="45">
        <v>0</v>
      </c>
      <c r="K277" s="42"/>
      <c r="L277" s="45">
        <v>0</v>
      </c>
      <c r="M277" s="42"/>
      <c r="N277" s="45">
        <v>0</v>
      </c>
      <c r="O277" s="42"/>
      <c r="P277" s="45">
        <v>0</v>
      </c>
      <c r="Q277" s="42"/>
      <c r="R277" s="45">
        <v>0</v>
      </c>
    </row>
    <row r="278" spans="1:18" x14ac:dyDescent="0.2">
      <c r="A278" s="42"/>
      <c r="B278" s="42"/>
      <c r="C278" s="42" t="s">
        <v>150</v>
      </c>
      <c r="D278" s="42"/>
      <c r="E278" s="42"/>
      <c r="F278" s="43">
        <v>2087000</v>
      </c>
      <c r="G278" s="42"/>
      <c r="H278" s="43">
        <v>2020000</v>
      </c>
      <c r="I278" s="42"/>
      <c r="J278" s="43">
        <v>28000</v>
      </c>
      <c r="K278" s="42"/>
      <c r="L278" s="43">
        <v>39000</v>
      </c>
      <c r="M278" s="42"/>
      <c r="N278" s="43">
        <v>1359000</v>
      </c>
      <c r="O278" s="42"/>
      <c r="P278" s="43">
        <v>728000</v>
      </c>
      <c r="Q278" s="42"/>
      <c r="R278" s="43">
        <v>0</v>
      </c>
    </row>
    <row r="279" spans="1:18" x14ac:dyDescent="0.2">
      <c r="A279" s="42"/>
      <c r="B279" s="42"/>
      <c r="C279" s="42"/>
      <c r="D279" s="42"/>
      <c r="E279" s="42" t="s">
        <v>22</v>
      </c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</row>
    <row r="280" spans="1:18" x14ac:dyDescent="0.2">
      <c r="A280" s="42"/>
      <c r="B280" s="42"/>
      <c r="C280" s="42"/>
      <c r="D280" s="42"/>
      <c r="E280" s="42" t="s">
        <v>3</v>
      </c>
      <c r="F280" s="43">
        <v>312805000</v>
      </c>
      <c r="G280" s="42"/>
      <c r="H280" s="43">
        <v>253615000</v>
      </c>
      <c r="I280" s="42"/>
      <c r="J280" s="43">
        <v>35081000</v>
      </c>
      <c r="K280" s="42"/>
      <c r="L280" s="43">
        <v>24109000</v>
      </c>
      <c r="M280" s="42"/>
      <c r="N280" s="43">
        <v>201250000</v>
      </c>
      <c r="O280" s="42"/>
      <c r="P280" s="43">
        <v>112529000</v>
      </c>
      <c r="Q280" s="42"/>
      <c r="R280" s="43">
        <v>974000</v>
      </c>
    </row>
    <row r="281" spans="1:18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</row>
    <row r="282" spans="1:18" x14ac:dyDescent="0.2">
      <c r="A282" s="42"/>
      <c r="B282" s="42" t="s">
        <v>24</v>
      </c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</row>
    <row r="283" spans="1:18" x14ac:dyDescent="0.2">
      <c r="A283" s="42"/>
      <c r="B283" s="42"/>
      <c r="C283" s="42" t="s">
        <v>79</v>
      </c>
      <c r="D283" s="42"/>
      <c r="E283" s="42"/>
      <c r="F283" s="45">
        <v>64000</v>
      </c>
      <c r="G283" s="42"/>
      <c r="H283" s="45">
        <v>10000</v>
      </c>
      <c r="I283" s="42"/>
      <c r="J283" s="45">
        <v>48000</v>
      </c>
      <c r="K283" s="42"/>
      <c r="L283" s="45">
        <v>6000</v>
      </c>
      <c r="M283" s="42"/>
      <c r="N283" s="45">
        <v>0</v>
      </c>
      <c r="O283" s="42"/>
      <c r="P283" s="45">
        <v>64000</v>
      </c>
      <c r="Q283" s="42"/>
      <c r="R283" s="45">
        <v>0</v>
      </c>
    </row>
    <row r="284" spans="1:18" x14ac:dyDescent="0.2">
      <c r="A284" s="42"/>
      <c r="B284" s="42"/>
      <c r="C284" s="42" t="s">
        <v>82</v>
      </c>
      <c r="D284" s="42"/>
      <c r="E284" s="42"/>
      <c r="F284" s="45">
        <v>140000</v>
      </c>
      <c r="G284" s="42"/>
      <c r="H284" s="45">
        <v>-3000</v>
      </c>
      <c r="I284" s="42"/>
      <c r="J284" s="45">
        <v>113000</v>
      </c>
      <c r="K284" s="42"/>
      <c r="L284" s="45">
        <v>30000</v>
      </c>
      <c r="M284" s="42"/>
      <c r="N284" s="45">
        <v>90000</v>
      </c>
      <c r="O284" s="42"/>
      <c r="P284" s="45">
        <v>50000</v>
      </c>
      <c r="Q284" s="42"/>
      <c r="R284" s="45">
        <v>0</v>
      </c>
    </row>
    <row r="285" spans="1:18" x14ac:dyDescent="0.2">
      <c r="A285" s="42"/>
      <c r="B285" s="42"/>
      <c r="C285" s="42" t="s">
        <v>84</v>
      </c>
      <c r="D285" s="42"/>
      <c r="E285" s="42"/>
      <c r="F285" s="45">
        <v>79000</v>
      </c>
      <c r="G285" s="42"/>
      <c r="H285" s="45">
        <v>0</v>
      </c>
      <c r="I285" s="42"/>
      <c r="J285" s="45">
        <v>7000</v>
      </c>
      <c r="K285" s="42"/>
      <c r="L285" s="45">
        <v>72000</v>
      </c>
      <c r="M285" s="42"/>
      <c r="N285" s="45">
        <v>43000</v>
      </c>
      <c r="O285" s="42"/>
      <c r="P285" s="45">
        <v>36000</v>
      </c>
      <c r="Q285" s="42"/>
      <c r="R285" s="45">
        <v>0</v>
      </c>
    </row>
    <row r="286" spans="1:18" x14ac:dyDescent="0.2">
      <c r="A286" s="42"/>
      <c r="B286" s="42"/>
      <c r="C286" s="42" t="s">
        <v>85</v>
      </c>
      <c r="D286" s="42"/>
      <c r="E286" s="42"/>
      <c r="F286" s="45">
        <v>10000</v>
      </c>
      <c r="G286" s="42"/>
      <c r="H286" s="45">
        <v>0</v>
      </c>
      <c r="I286" s="42"/>
      <c r="J286" s="45">
        <v>9000</v>
      </c>
      <c r="K286" s="42"/>
      <c r="L286" s="45">
        <v>1000</v>
      </c>
      <c r="M286" s="42"/>
      <c r="N286" s="45">
        <v>0</v>
      </c>
      <c r="O286" s="42"/>
      <c r="P286" s="45">
        <v>10000</v>
      </c>
      <c r="Q286" s="42"/>
      <c r="R286" s="45">
        <v>0</v>
      </c>
    </row>
    <row r="287" spans="1:18" x14ac:dyDescent="0.2">
      <c r="A287" s="42"/>
      <c r="B287" s="42"/>
      <c r="C287" s="42" t="s">
        <v>83</v>
      </c>
      <c r="D287" s="42"/>
      <c r="E287" s="42"/>
      <c r="F287" s="45">
        <v>983000</v>
      </c>
      <c r="G287" s="42"/>
      <c r="H287" s="45">
        <v>0</v>
      </c>
      <c r="I287" s="42"/>
      <c r="J287" s="45">
        <v>0</v>
      </c>
      <c r="K287" s="42"/>
      <c r="L287" s="45">
        <v>983000</v>
      </c>
      <c r="M287" s="42"/>
      <c r="N287" s="45">
        <v>692000</v>
      </c>
      <c r="O287" s="42"/>
      <c r="P287" s="45">
        <v>291000</v>
      </c>
      <c r="Q287" s="42"/>
      <c r="R287" s="45">
        <v>0</v>
      </c>
    </row>
    <row r="288" spans="1:18" x14ac:dyDescent="0.2">
      <c r="A288" s="42"/>
      <c r="B288" s="42"/>
      <c r="C288" s="42" t="s">
        <v>86</v>
      </c>
      <c r="D288" s="42"/>
      <c r="E288" s="42"/>
      <c r="F288" s="45">
        <v>4035000</v>
      </c>
      <c r="G288" s="42"/>
      <c r="H288" s="45">
        <v>12000</v>
      </c>
      <c r="I288" s="42"/>
      <c r="J288" s="45">
        <v>5000</v>
      </c>
      <c r="K288" s="42"/>
      <c r="L288" s="45">
        <v>4018000</v>
      </c>
      <c r="M288" s="42"/>
      <c r="N288" s="45">
        <v>2642000</v>
      </c>
      <c r="O288" s="42"/>
      <c r="P288" s="45">
        <v>1393000</v>
      </c>
      <c r="Q288" s="42"/>
      <c r="R288" s="45">
        <v>0</v>
      </c>
    </row>
    <row r="289" spans="1:18" x14ac:dyDescent="0.2">
      <c r="A289" s="42"/>
      <c r="B289" s="42"/>
      <c r="C289" s="42" t="s">
        <v>87</v>
      </c>
      <c r="D289" s="42"/>
      <c r="E289" s="42"/>
      <c r="F289" s="45">
        <v>712000</v>
      </c>
      <c r="G289" s="42"/>
      <c r="H289" s="45">
        <v>0</v>
      </c>
      <c r="I289" s="42"/>
      <c r="J289" s="45">
        <v>31000</v>
      </c>
      <c r="K289" s="42"/>
      <c r="L289" s="45">
        <v>681000</v>
      </c>
      <c r="M289" s="42"/>
      <c r="N289" s="45">
        <v>237000</v>
      </c>
      <c r="O289" s="42"/>
      <c r="P289" s="45">
        <v>480000</v>
      </c>
      <c r="Q289" s="42"/>
      <c r="R289" s="45">
        <v>5000</v>
      </c>
    </row>
    <row r="290" spans="1:18" x14ac:dyDescent="0.2">
      <c r="A290" s="42"/>
      <c r="B290" s="42"/>
      <c r="C290" s="42" t="s">
        <v>92</v>
      </c>
      <c r="D290" s="42"/>
      <c r="E290" s="42"/>
      <c r="F290" s="45">
        <v>3509000</v>
      </c>
      <c r="G290" s="42"/>
      <c r="H290" s="45">
        <v>65000</v>
      </c>
      <c r="I290" s="42"/>
      <c r="J290" s="45">
        <v>8000</v>
      </c>
      <c r="K290" s="42"/>
      <c r="L290" s="45">
        <v>3436000</v>
      </c>
      <c r="M290" s="42"/>
      <c r="N290" s="45">
        <v>157000</v>
      </c>
      <c r="O290" s="42"/>
      <c r="P290" s="45">
        <v>3352000</v>
      </c>
      <c r="Q290" s="42"/>
      <c r="R290" s="45">
        <v>0</v>
      </c>
    </row>
    <row r="291" spans="1:18" x14ac:dyDescent="0.2">
      <c r="A291" s="42"/>
      <c r="B291" s="42"/>
      <c r="C291" s="42" t="s">
        <v>93</v>
      </c>
      <c r="D291" s="42"/>
      <c r="E291" s="42"/>
      <c r="F291" s="45">
        <v>-10000</v>
      </c>
      <c r="G291" s="42"/>
      <c r="H291" s="45">
        <v>0</v>
      </c>
      <c r="I291" s="42"/>
      <c r="J291" s="45">
        <v>0</v>
      </c>
      <c r="K291" s="42"/>
      <c r="L291" s="45">
        <v>-10000</v>
      </c>
      <c r="M291" s="42"/>
      <c r="N291" s="45">
        <v>0</v>
      </c>
      <c r="O291" s="42"/>
      <c r="P291" s="45">
        <v>-10000</v>
      </c>
      <c r="Q291" s="42"/>
      <c r="R291" s="45">
        <v>0</v>
      </c>
    </row>
    <row r="292" spans="1:18" x14ac:dyDescent="0.2">
      <c r="A292" s="42"/>
      <c r="B292" s="42"/>
      <c r="C292" s="42" t="s">
        <v>95</v>
      </c>
      <c r="D292" s="42"/>
      <c r="E292" s="42"/>
      <c r="F292" s="45">
        <v>7000</v>
      </c>
      <c r="G292" s="42"/>
      <c r="H292" s="45">
        <v>0</v>
      </c>
      <c r="I292" s="42"/>
      <c r="J292" s="45">
        <v>7000</v>
      </c>
      <c r="K292" s="42"/>
      <c r="L292" s="45">
        <v>0</v>
      </c>
      <c r="M292" s="42"/>
      <c r="N292" s="45">
        <v>0</v>
      </c>
      <c r="O292" s="42"/>
      <c r="P292" s="45">
        <v>7000</v>
      </c>
      <c r="Q292" s="42"/>
      <c r="R292" s="45">
        <v>0</v>
      </c>
    </row>
    <row r="293" spans="1:18" x14ac:dyDescent="0.2">
      <c r="A293" s="42"/>
      <c r="B293" s="42"/>
      <c r="C293" s="42" t="s">
        <v>39</v>
      </c>
      <c r="D293" s="42"/>
      <c r="E293" s="42"/>
      <c r="F293" s="45">
        <v>0</v>
      </c>
      <c r="G293" s="42"/>
      <c r="H293" s="45">
        <v>0</v>
      </c>
      <c r="I293" s="42"/>
      <c r="J293" s="45">
        <v>0</v>
      </c>
      <c r="K293" s="42"/>
      <c r="L293" s="45">
        <v>0</v>
      </c>
      <c r="M293" s="42"/>
      <c r="N293" s="45">
        <v>0</v>
      </c>
      <c r="O293" s="42"/>
      <c r="P293" s="45">
        <v>0</v>
      </c>
      <c r="Q293" s="42"/>
      <c r="R293" s="45">
        <v>0</v>
      </c>
    </row>
    <row r="294" spans="1:18" x14ac:dyDescent="0.2">
      <c r="A294" s="42"/>
      <c r="B294" s="42"/>
      <c r="C294" s="42" t="s">
        <v>98</v>
      </c>
      <c r="D294" s="42"/>
      <c r="E294" s="42"/>
      <c r="F294" s="45">
        <v>42000</v>
      </c>
      <c r="G294" s="42"/>
      <c r="H294" s="45">
        <v>16000</v>
      </c>
      <c r="I294" s="42"/>
      <c r="J294" s="45">
        <v>26000</v>
      </c>
      <c r="K294" s="42"/>
      <c r="L294" s="45">
        <v>0</v>
      </c>
      <c r="M294" s="42"/>
      <c r="N294" s="45">
        <v>32000</v>
      </c>
      <c r="O294" s="42"/>
      <c r="P294" s="45">
        <v>10000</v>
      </c>
      <c r="Q294" s="42"/>
      <c r="R294" s="45">
        <v>0</v>
      </c>
    </row>
    <row r="295" spans="1:18" x14ac:dyDescent="0.2">
      <c r="A295" s="42"/>
      <c r="B295" s="42"/>
      <c r="C295" s="42" t="s">
        <v>100</v>
      </c>
      <c r="D295" s="42"/>
      <c r="E295" s="42"/>
      <c r="F295" s="45">
        <v>1000</v>
      </c>
      <c r="G295" s="42"/>
      <c r="H295" s="45">
        <v>0</v>
      </c>
      <c r="I295" s="42"/>
      <c r="J295" s="45">
        <v>0</v>
      </c>
      <c r="K295" s="42"/>
      <c r="L295" s="45">
        <v>1000</v>
      </c>
      <c r="M295" s="42"/>
      <c r="N295" s="45">
        <v>0</v>
      </c>
      <c r="O295" s="42"/>
      <c r="P295" s="45">
        <v>1000</v>
      </c>
      <c r="Q295" s="42"/>
      <c r="R295" s="45">
        <v>0</v>
      </c>
    </row>
    <row r="296" spans="1:18" x14ac:dyDescent="0.2">
      <c r="A296" s="42"/>
      <c r="B296" s="42"/>
      <c r="C296" s="42" t="s">
        <v>101</v>
      </c>
      <c r="D296" s="42"/>
      <c r="E296" s="42"/>
      <c r="F296" s="45">
        <v>4593000</v>
      </c>
      <c r="G296" s="42"/>
      <c r="H296" s="45">
        <v>31000</v>
      </c>
      <c r="I296" s="42"/>
      <c r="J296" s="45">
        <v>153000</v>
      </c>
      <c r="K296" s="42"/>
      <c r="L296" s="45">
        <v>4409000</v>
      </c>
      <c r="M296" s="42"/>
      <c r="N296" s="45">
        <v>2278000</v>
      </c>
      <c r="O296" s="42"/>
      <c r="P296" s="45">
        <v>2321000</v>
      </c>
      <c r="Q296" s="42"/>
      <c r="R296" s="45">
        <v>6000</v>
      </c>
    </row>
    <row r="297" spans="1:18" x14ac:dyDescent="0.2">
      <c r="A297" s="42"/>
      <c r="B297" s="42"/>
      <c r="C297" s="42" t="s">
        <v>151</v>
      </c>
      <c r="D297" s="42"/>
      <c r="E297" s="42"/>
      <c r="F297" s="45">
        <v>23000</v>
      </c>
      <c r="G297" s="42"/>
      <c r="H297" s="45">
        <v>0</v>
      </c>
      <c r="I297" s="42"/>
      <c r="J297" s="45">
        <v>6000</v>
      </c>
      <c r="K297" s="42"/>
      <c r="L297" s="45">
        <v>17000</v>
      </c>
      <c r="M297" s="42"/>
      <c r="N297" s="45">
        <v>12000</v>
      </c>
      <c r="O297" s="42"/>
      <c r="P297" s="45">
        <v>11000</v>
      </c>
      <c r="Q297" s="42"/>
      <c r="R297" s="45">
        <v>0</v>
      </c>
    </row>
    <row r="298" spans="1:18" x14ac:dyDescent="0.2">
      <c r="A298" s="42"/>
      <c r="B298" s="42"/>
      <c r="C298" s="42" t="s">
        <v>152</v>
      </c>
      <c r="D298" s="42"/>
      <c r="E298" s="42"/>
      <c r="F298" s="45">
        <v>59000</v>
      </c>
      <c r="G298" s="42"/>
      <c r="H298" s="45">
        <v>0</v>
      </c>
      <c r="I298" s="42"/>
      <c r="J298" s="45">
        <v>2000</v>
      </c>
      <c r="K298" s="42"/>
      <c r="L298" s="45">
        <v>57000</v>
      </c>
      <c r="M298" s="42"/>
      <c r="N298" s="45">
        <v>44000</v>
      </c>
      <c r="O298" s="42"/>
      <c r="P298" s="45">
        <v>15000</v>
      </c>
      <c r="Q298" s="42"/>
      <c r="R298" s="45">
        <v>0</v>
      </c>
    </row>
    <row r="299" spans="1:18" x14ac:dyDescent="0.2">
      <c r="A299" s="42"/>
      <c r="B299" s="42"/>
      <c r="C299" s="42" t="s">
        <v>153</v>
      </c>
      <c r="D299" s="42"/>
      <c r="E299" s="42"/>
      <c r="F299" s="45">
        <v>23000</v>
      </c>
      <c r="G299" s="42"/>
      <c r="H299" s="45">
        <v>0</v>
      </c>
      <c r="I299" s="42"/>
      <c r="J299" s="45">
        <v>23000</v>
      </c>
      <c r="K299" s="42"/>
      <c r="L299" s="45">
        <v>0</v>
      </c>
      <c r="M299" s="42"/>
      <c r="N299" s="45">
        <v>0</v>
      </c>
      <c r="O299" s="42"/>
      <c r="P299" s="45">
        <v>23000</v>
      </c>
      <c r="Q299" s="42"/>
      <c r="R299" s="45">
        <v>0</v>
      </c>
    </row>
    <row r="300" spans="1:18" x14ac:dyDescent="0.2">
      <c r="A300" s="42"/>
      <c r="B300" s="42"/>
      <c r="C300" s="42" t="s">
        <v>105</v>
      </c>
      <c r="D300" s="42"/>
      <c r="E300" s="42"/>
      <c r="F300" s="45">
        <v>586000</v>
      </c>
      <c r="G300" s="42"/>
      <c r="H300" s="45">
        <v>47000</v>
      </c>
      <c r="I300" s="42"/>
      <c r="J300" s="45">
        <v>183000</v>
      </c>
      <c r="K300" s="42"/>
      <c r="L300" s="45">
        <v>356000</v>
      </c>
      <c r="M300" s="42"/>
      <c r="N300" s="45">
        <v>171000</v>
      </c>
      <c r="O300" s="42"/>
      <c r="P300" s="45">
        <v>415000</v>
      </c>
      <c r="Q300" s="42"/>
      <c r="R300" s="45">
        <v>0</v>
      </c>
    </row>
    <row r="301" spans="1:18" x14ac:dyDescent="0.2">
      <c r="A301" s="42"/>
      <c r="B301" s="42"/>
      <c r="C301" s="42" t="s">
        <v>106</v>
      </c>
      <c r="D301" s="42"/>
      <c r="E301" s="42"/>
      <c r="F301" s="45">
        <v>195000</v>
      </c>
      <c r="G301" s="42"/>
      <c r="H301" s="45">
        <v>9000</v>
      </c>
      <c r="I301" s="42"/>
      <c r="J301" s="45">
        <v>159000</v>
      </c>
      <c r="K301" s="42"/>
      <c r="L301" s="45">
        <v>27000</v>
      </c>
      <c r="M301" s="42"/>
      <c r="N301" s="45">
        <v>63000</v>
      </c>
      <c r="O301" s="42"/>
      <c r="P301" s="45">
        <v>132000</v>
      </c>
      <c r="Q301" s="42"/>
      <c r="R301" s="45">
        <v>0</v>
      </c>
    </row>
    <row r="302" spans="1:18" x14ac:dyDescent="0.2">
      <c r="A302" s="42"/>
      <c r="B302" s="42"/>
      <c r="C302" s="42" t="s">
        <v>107</v>
      </c>
      <c r="D302" s="42"/>
      <c r="E302" s="42"/>
      <c r="F302" s="45">
        <v>3000</v>
      </c>
      <c r="G302" s="42"/>
      <c r="H302" s="45">
        <v>0</v>
      </c>
      <c r="I302" s="42"/>
      <c r="J302" s="45">
        <v>3000</v>
      </c>
      <c r="K302" s="42"/>
      <c r="L302" s="45">
        <v>0</v>
      </c>
      <c r="M302" s="42"/>
      <c r="N302" s="45">
        <v>0</v>
      </c>
      <c r="O302" s="42"/>
      <c r="P302" s="45">
        <v>3000</v>
      </c>
      <c r="Q302" s="42"/>
      <c r="R302" s="45">
        <v>0</v>
      </c>
    </row>
    <row r="303" spans="1:18" x14ac:dyDescent="0.2">
      <c r="A303" s="42"/>
      <c r="B303" s="42"/>
      <c r="C303" s="42" t="s">
        <v>108</v>
      </c>
      <c r="D303" s="42"/>
      <c r="E303" s="42"/>
      <c r="F303" s="45">
        <v>20000</v>
      </c>
      <c r="G303" s="42"/>
      <c r="H303" s="45">
        <v>-2000</v>
      </c>
      <c r="I303" s="42"/>
      <c r="J303" s="45">
        <v>18000</v>
      </c>
      <c r="K303" s="42"/>
      <c r="L303" s="45">
        <v>4000</v>
      </c>
      <c r="M303" s="42"/>
      <c r="N303" s="45">
        <v>0</v>
      </c>
      <c r="O303" s="42"/>
      <c r="P303" s="45">
        <v>20000</v>
      </c>
      <c r="Q303" s="42"/>
      <c r="R303" s="45">
        <v>0</v>
      </c>
    </row>
    <row r="304" spans="1:18" x14ac:dyDescent="0.2">
      <c r="A304" s="42"/>
      <c r="B304" s="42"/>
      <c r="C304" s="42" t="s">
        <v>109</v>
      </c>
      <c r="D304" s="42"/>
      <c r="E304" s="42"/>
      <c r="F304" s="45">
        <v>930000</v>
      </c>
      <c r="G304" s="42"/>
      <c r="H304" s="45">
        <v>56000</v>
      </c>
      <c r="I304" s="42"/>
      <c r="J304" s="45">
        <v>73000</v>
      </c>
      <c r="K304" s="42"/>
      <c r="L304" s="45">
        <v>801000</v>
      </c>
      <c r="M304" s="42"/>
      <c r="N304" s="45">
        <v>428000</v>
      </c>
      <c r="O304" s="42"/>
      <c r="P304" s="45">
        <v>502000</v>
      </c>
      <c r="Q304" s="42"/>
      <c r="R304" s="45">
        <v>0</v>
      </c>
    </row>
    <row r="305" spans="1:18" x14ac:dyDescent="0.2">
      <c r="A305" s="42"/>
      <c r="B305" s="42"/>
      <c r="C305" s="42" t="s">
        <v>110</v>
      </c>
      <c r="D305" s="42"/>
      <c r="E305" s="42"/>
      <c r="F305" s="45">
        <v>70000</v>
      </c>
      <c r="G305" s="42"/>
      <c r="H305" s="45">
        <v>2000</v>
      </c>
      <c r="I305" s="42"/>
      <c r="J305" s="45">
        <v>34000</v>
      </c>
      <c r="K305" s="42"/>
      <c r="L305" s="45">
        <v>34000</v>
      </c>
      <c r="M305" s="42"/>
      <c r="N305" s="45">
        <v>20000</v>
      </c>
      <c r="O305" s="42"/>
      <c r="P305" s="45">
        <v>50000</v>
      </c>
      <c r="Q305" s="42"/>
      <c r="R305" s="45">
        <v>0</v>
      </c>
    </row>
    <row r="306" spans="1:18" x14ac:dyDescent="0.2">
      <c r="A306" s="42"/>
      <c r="B306" s="42"/>
      <c r="C306" s="42" t="s">
        <v>112</v>
      </c>
      <c r="D306" s="42"/>
      <c r="E306" s="42"/>
      <c r="F306" s="45">
        <v>6000</v>
      </c>
      <c r="G306" s="42"/>
      <c r="H306" s="45">
        <v>-4000</v>
      </c>
      <c r="I306" s="42"/>
      <c r="J306" s="45">
        <v>0</v>
      </c>
      <c r="K306" s="42"/>
      <c r="L306" s="45">
        <v>10000</v>
      </c>
      <c r="M306" s="42"/>
      <c r="N306" s="45">
        <v>-4000</v>
      </c>
      <c r="O306" s="42"/>
      <c r="P306" s="45">
        <v>10000</v>
      </c>
      <c r="Q306" s="42"/>
      <c r="R306" s="45">
        <v>0</v>
      </c>
    </row>
    <row r="307" spans="1:18" x14ac:dyDescent="0.2">
      <c r="A307" s="42"/>
      <c r="B307" s="42"/>
      <c r="C307" s="42" t="s">
        <v>154</v>
      </c>
      <c r="D307" s="42"/>
      <c r="E307" s="42"/>
      <c r="F307" s="45">
        <v>6922000</v>
      </c>
      <c r="G307" s="42"/>
      <c r="H307" s="45">
        <v>3000</v>
      </c>
      <c r="I307" s="42"/>
      <c r="J307" s="45">
        <v>570000</v>
      </c>
      <c r="K307" s="42"/>
      <c r="L307" s="45">
        <v>6349000</v>
      </c>
      <c r="M307" s="42"/>
      <c r="N307" s="45">
        <v>3111000</v>
      </c>
      <c r="O307" s="42"/>
      <c r="P307" s="45">
        <v>3811000</v>
      </c>
      <c r="Q307" s="42"/>
      <c r="R307" s="45">
        <v>0</v>
      </c>
    </row>
    <row r="308" spans="1:18" x14ac:dyDescent="0.2">
      <c r="A308" s="42"/>
      <c r="B308" s="42"/>
      <c r="C308" s="42" t="s">
        <v>155</v>
      </c>
      <c r="D308" s="42"/>
      <c r="E308" s="42"/>
      <c r="F308" s="45">
        <v>2899000</v>
      </c>
      <c r="G308" s="42"/>
      <c r="H308" s="45">
        <v>33000</v>
      </c>
      <c r="I308" s="42"/>
      <c r="J308" s="45">
        <v>239000</v>
      </c>
      <c r="K308" s="42"/>
      <c r="L308" s="45">
        <v>2627000</v>
      </c>
      <c r="M308" s="42"/>
      <c r="N308" s="45">
        <v>1516000</v>
      </c>
      <c r="O308" s="42"/>
      <c r="P308" s="45">
        <v>1383000</v>
      </c>
      <c r="Q308" s="42"/>
      <c r="R308" s="45">
        <v>0</v>
      </c>
    </row>
    <row r="309" spans="1:18" x14ac:dyDescent="0.2">
      <c r="A309" s="42"/>
      <c r="B309" s="42"/>
      <c r="C309" s="42" t="s">
        <v>156</v>
      </c>
      <c r="D309" s="42"/>
      <c r="E309" s="42"/>
      <c r="F309" s="45">
        <v>0</v>
      </c>
      <c r="G309" s="42"/>
      <c r="H309" s="45">
        <v>0</v>
      </c>
      <c r="I309" s="42"/>
      <c r="J309" s="45">
        <v>0</v>
      </c>
      <c r="K309" s="42"/>
      <c r="L309" s="45">
        <v>0</v>
      </c>
      <c r="M309" s="42"/>
      <c r="N309" s="45">
        <v>0</v>
      </c>
      <c r="O309" s="42"/>
      <c r="P309" s="45">
        <v>0</v>
      </c>
      <c r="Q309" s="42"/>
      <c r="R309" s="45">
        <v>0</v>
      </c>
    </row>
    <row r="310" spans="1:18" x14ac:dyDescent="0.2">
      <c r="A310" s="42"/>
      <c r="B310" s="42"/>
      <c r="C310" s="42" t="s">
        <v>117</v>
      </c>
      <c r="D310" s="42"/>
      <c r="E310" s="42"/>
      <c r="F310" s="45">
        <v>102000</v>
      </c>
      <c r="G310" s="42"/>
      <c r="H310" s="45">
        <v>0</v>
      </c>
      <c r="I310" s="42"/>
      <c r="J310" s="45">
        <v>12000</v>
      </c>
      <c r="K310" s="42"/>
      <c r="L310" s="45">
        <v>90000</v>
      </c>
      <c r="M310" s="42"/>
      <c r="N310" s="45">
        <v>25000</v>
      </c>
      <c r="O310" s="42"/>
      <c r="P310" s="45">
        <v>77000</v>
      </c>
      <c r="Q310" s="42"/>
      <c r="R310" s="45">
        <v>0</v>
      </c>
    </row>
    <row r="311" spans="1:18" x14ac:dyDescent="0.2">
      <c r="A311" s="42"/>
      <c r="B311" s="42"/>
      <c r="C311" s="42" t="s">
        <v>157</v>
      </c>
      <c r="D311" s="42"/>
      <c r="E311" s="42"/>
      <c r="F311" s="45">
        <v>6000</v>
      </c>
      <c r="G311" s="42"/>
      <c r="H311" s="45">
        <v>0</v>
      </c>
      <c r="I311" s="42"/>
      <c r="J311" s="45">
        <v>0</v>
      </c>
      <c r="K311" s="42"/>
      <c r="L311" s="45">
        <v>6000</v>
      </c>
      <c r="M311" s="42"/>
      <c r="N311" s="45">
        <v>0</v>
      </c>
      <c r="O311" s="42"/>
      <c r="P311" s="45">
        <v>6000</v>
      </c>
      <c r="Q311" s="42"/>
      <c r="R311" s="45">
        <v>0</v>
      </c>
    </row>
    <row r="312" spans="1:18" x14ac:dyDescent="0.2">
      <c r="A312" s="42"/>
      <c r="B312" s="42"/>
      <c r="C312" s="42" t="s">
        <v>158</v>
      </c>
      <c r="D312" s="42"/>
      <c r="E312" s="42"/>
      <c r="F312" s="45">
        <v>0</v>
      </c>
      <c r="G312" s="42"/>
      <c r="H312" s="45">
        <v>0</v>
      </c>
      <c r="I312" s="42"/>
      <c r="J312" s="45">
        <v>0</v>
      </c>
      <c r="K312" s="42"/>
      <c r="L312" s="45">
        <v>0</v>
      </c>
      <c r="M312" s="42"/>
      <c r="N312" s="45">
        <v>0</v>
      </c>
      <c r="O312" s="42"/>
      <c r="P312" s="45">
        <v>0</v>
      </c>
      <c r="Q312" s="42"/>
      <c r="R312" s="45">
        <v>0</v>
      </c>
    </row>
    <row r="313" spans="1:18" x14ac:dyDescent="0.2">
      <c r="A313" s="42"/>
      <c r="B313" s="42"/>
      <c r="C313" s="42" t="s">
        <v>159</v>
      </c>
      <c r="D313" s="42"/>
      <c r="E313" s="42"/>
      <c r="F313" s="45">
        <v>294000</v>
      </c>
      <c r="G313" s="42"/>
      <c r="H313" s="45">
        <v>3000</v>
      </c>
      <c r="I313" s="42"/>
      <c r="J313" s="45">
        <v>14000</v>
      </c>
      <c r="K313" s="42"/>
      <c r="L313" s="45">
        <v>277000</v>
      </c>
      <c r="M313" s="42"/>
      <c r="N313" s="45">
        <v>162000</v>
      </c>
      <c r="O313" s="42"/>
      <c r="P313" s="45">
        <v>132000</v>
      </c>
      <c r="Q313" s="42"/>
      <c r="R313" s="45">
        <v>0</v>
      </c>
    </row>
    <row r="314" spans="1:18" x14ac:dyDescent="0.2">
      <c r="A314" s="42"/>
      <c r="B314" s="42"/>
      <c r="C314" s="42" t="s">
        <v>122</v>
      </c>
      <c r="D314" s="42"/>
      <c r="E314" s="42"/>
      <c r="F314" s="45">
        <v>92000</v>
      </c>
      <c r="G314" s="42"/>
      <c r="H314" s="45">
        <v>5000</v>
      </c>
      <c r="I314" s="42"/>
      <c r="J314" s="45">
        <v>24000</v>
      </c>
      <c r="K314" s="42"/>
      <c r="L314" s="45">
        <v>63000</v>
      </c>
      <c r="M314" s="42"/>
      <c r="N314" s="45">
        <v>18000</v>
      </c>
      <c r="O314" s="42"/>
      <c r="P314" s="45">
        <v>74000</v>
      </c>
      <c r="Q314" s="42"/>
      <c r="R314" s="45">
        <v>0</v>
      </c>
    </row>
    <row r="315" spans="1:18" x14ac:dyDescent="0.2">
      <c r="A315" s="42"/>
      <c r="B315" s="42"/>
      <c r="C315" s="42" t="s">
        <v>125</v>
      </c>
      <c r="D315" s="42"/>
      <c r="E315" s="42"/>
      <c r="F315" s="45">
        <v>33489000</v>
      </c>
      <c r="G315" s="42"/>
      <c r="H315" s="45">
        <v>274000</v>
      </c>
      <c r="I315" s="42"/>
      <c r="J315" s="45">
        <v>311000</v>
      </c>
      <c r="K315" s="42"/>
      <c r="L315" s="45">
        <v>32904000</v>
      </c>
      <c r="M315" s="42"/>
      <c r="N315" s="45">
        <v>15950000</v>
      </c>
      <c r="O315" s="42"/>
      <c r="P315" s="45">
        <v>17539000</v>
      </c>
      <c r="Q315" s="42"/>
      <c r="R315" s="45">
        <v>0</v>
      </c>
    </row>
    <row r="316" spans="1:18" x14ac:dyDescent="0.2">
      <c r="A316" s="42"/>
      <c r="B316" s="42"/>
      <c r="C316" s="42" t="s">
        <v>160</v>
      </c>
      <c r="D316" s="42"/>
      <c r="E316" s="42"/>
      <c r="F316" s="45">
        <v>397000</v>
      </c>
      <c r="G316" s="42"/>
      <c r="H316" s="45">
        <v>5000</v>
      </c>
      <c r="I316" s="42"/>
      <c r="J316" s="45">
        <v>235000</v>
      </c>
      <c r="K316" s="42"/>
      <c r="L316" s="45">
        <v>157000</v>
      </c>
      <c r="M316" s="42"/>
      <c r="N316" s="45">
        <v>203000</v>
      </c>
      <c r="O316" s="42"/>
      <c r="P316" s="45">
        <v>194000</v>
      </c>
      <c r="Q316" s="42"/>
      <c r="R316" s="45">
        <v>0</v>
      </c>
    </row>
    <row r="317" spans="1:18" x14ac:dyDescent="0.2">
      <c r="A317" s="42"/>
      <c r="B317" s="42"/>
      <c r="C317" s="42" t="s">
        <v>127</v>
      </c>
      <c r="D317" s="42"/>
      <c r="E317" s="42"/>
      <c r="F317" s="45">
        <v>53000</v>
      </c>
      <c r="G317" s="42"/>
      <c r="H317" s="45">
        <v>2000</v>
      </c>
      <c r="I317" s="42"/>
      <c r="J317" s="45">
        <v>27000</v>
      </c>
      <c r="K317" s="42"/>
      <c r="L317" s="45">
        <v>24000</v>
      </c>
      <c r="M317" s="42"/>
      <c r="N317" s="45">
        <v>0</v>
      </c>
      <c r="O317" s="42"/>
      <c r="P317" s="45">
        <v>53000</v>
      </c>
      <c r="Q317" s="42"/>
      <c r="R317" s="45">
        <v>0</v>
      </c>
    </row>
    <row r="318" spans="1:18" x14ac:dyDescent="0.2">
      <c r="A318" s="42"/>
      <c r="B318" s="42"/>
      <c r="C318" s="42" t="s">
        <v>161</v>
      </c>
      <c r="D318" s="42"/>
      <c r="E318" s="42"/>
      <c r="F318" s="45">
        <v>10000</v>
      </c>
      <c r="G318" s="42"/>
      <c r="H318" s="45">
        <v>0</v>
      </c>
      <c r="I318" s="42"/>
      <c r="J318" s="45">
        <v>0</v>
      </c>
      <c r="K318" s="42"/>
      <c r="L318" s="45">
        <v>10000</v>
      </c>
      <c r="M318" s="42"/>
      <c r="N318" s="45">
        <v>0</v>
      </c>
      <c r="O318" s="42"/>
      <c r="P318" s="45">
        <v>10000</v>
      </c>
      <c r="Q318" s="42"/>
      <c r="R318" s="45">
        <v>0</v>
      </c>
    </row>
    <row r="319" spans="1:18" x14ac:dyDescent="0.2">
      <c r="A319" s="42"/>
      <c r="B319" s="42"/>
      <c r="C319" s="42" t="s">
        <v>130</v>
      </c>
      <c r="D319" s="42"/>
      <c r="E319" s="42"/>
      <c r="F319" s="45">
        <v>428000</v>
      </c>
      <c r="G319" s="42"/>
      <c r="H319" s="45">
        <v>0</v>
      </c>
      <c r="I319" s="42"/>
      <c r="J319" s="45">
        <v>0</v>
      </c>
      <c r="K319" s="42"/>
      <c r="L319" s="45">
        <v>428000</v>
      </c>
      <c r="M319" s="42"/>
      <c r="N319" s="45">
        <v>163000</v>
      </c>
      <c r="O319" s="42"/>
      <c r="P319" s="45">
        <v>265000</v>
      </c>
      <c r="Q319" s="42"/>
      <c r="R319" s="45">
        <v>0</v>
      </c>
    </row>
    <row r="320" spans="1:18" x14ac:dyDescent="0.2">
      <c r="A320" s="42"/>
      <c r="B320" s="42"/>
      <c r="C320" s="42" t="s">
        <v>131</v>
      </c>
      <c r="D320" s="42"/>
      <c r="E320" s="42"/>
      <c r="F320" s="45">
        <v>19042000</v>
      </c>
      <c r="G320" s="42"/>
      <c r="H320" s="45">
        <v>41000</v>
      </c>
      <c r="I320" s="42"/>
      <c r="J320" s="45">
        <v>206000</v>
      </c>
      <c r="K320" s="42"/>
      <c r="L320" s="45">
        <v>18795000</v>
      </c>
      <c r="M320" s="42"/>
      <c r="N320" s="45">
        <v>7337000</v>
      </c>
      <c r="O320" s="42"/>
      <c r="P320" s="45">
        <v>11705000</v>
      </c>
      <c r="Q320" s="42"/>
      <c r="R320" s="45">
        <v>0</v>
      </c>
    </row>
    <row r="321" spans="1:18" x14ac:dyDescent="0.2">
      <c r="A321" s="42"/>
      <c r="B321" s="42"/>
      <c r="C321" s="42" t="s">
        <v>132</v>
      </c>
      <c r="D321" s="42"/>
      <c r="E321" s="42"/>
      <c r="F321" s="45">
        <v>626000</v>
      </c>
      <c r="G321" s="42"/>
      <c r="H321" s="45">
        <v>42000</v>
      </c>
      <c r="I321" s="42"/>
      <c r="J321" s="45">
        <v>83000</v>
      </c>
      <c r="K321" s="42"/>
      <c r="L321" s="45">
        <v>501000</v>
      </c>
      <c r="M321" s="42"/>
      <c r="N321" s="45">
        <v>454000</v>
      </c>
      <c r="O321" s="42"/>
      <c r="P321" s="45">
        <v>172000</v>
      </c>
      <c r="Q321" s="42"/>
      <c r="R321" s="45">
        <v>0</v>
      </c>
    </row>
    <row r="322" spans="1:18" x14ac:dyDescent="0.2">
      <c r="A322" s="42"/>
      <c r="B322" s="42"/>
      <c r="C322" s="42" t="s">
        <v>133</v>
      </c>
      <c r="D322" s="42"/>
      <c r="E322" s="42"/>
      <c r="F322" s="45">
        <v>3983000</v>
      </c>
      <c r="G322" s="42"/>
      <c r="H322" s="45">
        <v>24000</v>
      </c>
      <c r="I322" s="42"/>
      <c r="J322" s="45">
        <v>249000</v>
      </c>
      <c r="K322" s="42"/>
      <c r="L322" s="45">
        <v>3710000</v>
      </c>
      <c r="M322" s="42"/>
      <c r="N322" s="45">
        <v>2133000</v>
      </c>
      <c r="O322" s="42"/>
      <c r="P322" s="45">
        <v>1850000</v>
      </c>
      <c r="Q322" s="42"/>
      <c r="R322" s="45">
        <v>0</v>
      </c>
    </row>
    <row r="323" spans="1:18" x14ac:dyDescent="0.2">
      <c r="A323" s="42"/>
      <c r="B323" s="42"/>
      <c r="C323" s="42" t="s">
        <v>134</v>
      </c>
      <c r="D323" s="42"/>
      <c r="E323" s="42"/>
      <c r="F323" s="45">
        <v>26000</v>
      </c>
      <c r="G323" s="42"/>
      <c r="H323" s="45">
        <v>3000</v>
      </c>
      <c r="I323" s="42"/>
      <c r="J323" s="45">
        <v>12000</v>
      </c>
      <c r="K323" s="42"/>
      <c r="L323" s="45">
        <v>11000</v>
      </c>
      <c r="M323" s="42"/>
      <c r="N323" s="45">
        <v>7000</v>
      </c>
      <c r="O323" s="42"/>
      <c r="P323" s="45">
        <v>19000</v>
      </c>
      <c r="Q323" s="42"/>
      <c r="R323" s="45">
        <v>0</v>
      </c>
    </row>
    <row r="324" spans="1:18" x14ac:dyDescent="0.2">
      <c r="A324" s="42"/>
      <c r="B324" s="42"/>
      <c r="C324" s="42" t="s">
        <v>137</v>
      </c>
      <c r="D324" s="42"/>
      <c r="E324" s="42"/>
      <c r="F324" s="45">
        <v>72000</v>
      </c>
      <c r="G324" s="42"/>
      <c r="H324" s="45">
        <v>0</v>
      </c>
      <c r="I324" s="42"/>
      <c r="J324" s="45">
        <v>18000</v>
      </c>
      <c r="K324" s="42"/>
      <c r="L324" s="45">
        <v>54000</v>
      </c>
      <c r="M324" s="42"/>
      <c r="N324" s="45">
        <v>2000</v>
      </c>
      <c r="O324" s="42"/>
      <c r="P324" s="45">
        <v>70000</v>
      </c>
      <c r="Q324" s="42"/>
      <c r="R324" s="45">
        <v>0</v>
      </c>
    </row>
    <row r="325" spans="1:18" x14ac:dyDescent="0.2">
      <c r="A325" s="42"/>
      <c r="B325" s="42"/>
      <c r="C325" s="42" t="s">
        <v>138</v>
      </c>
      <c r="D325" s="42"/>
      <c r="E325" s="42"/>
      <c r="F325" s="45">
        <v>96000</v>
      </c>
      <c r="G325" s="42"/>
      <c r="H325" s="45">
        <v>0</v>
      </c>
      <c r="I325" s="42"/>
      <c r="J325" s="45">
        <v>37000</v>
      </c>
      <c r="K325" s="42"/>
      <c r="L325" s="45">
        <v>59000</v>
      </c>
      <c r="M325" s="42"/>
      <c r="N325" s="45">
        <v>22000</v>
      </c>
      <c r="O325" s="42"/>
      <c r="P325" s="45">
        <v>74000</v>
      </c>
      <c r="Q325" s="42"/>
      <c r="R325" s="45">
        <v>0</v>
      </c>
    </row>
    <row r="326" spans="1:18" x14ac:dyDescent="0.2">
      <c r="A326" s="42"/>
      <c r="B326" s="42"/>
      <c r="C326" s="42" t="s">
        <v>139</v>
      </c>
      <c r="D326" s="42"/>
      <c r="E326" s="42"/>
      <c r="F326" s="45">
        <v>0</v>
      </c>
      <c r="G326" s="42"/>
      <c r="H326" s="45">
        <v>0</v>
      </c>
      <c r="I326" s="42"/>
      <c r="J326" s="45">
        <v>0</v>
      </c>
      <c r="K326" s="42"/>
      <c r="L326" s="45">
        <v>0</v>
      </c>
      <c r="M326" s="42"/>
      <c r="N326" s="45">
        <v>0</v>
      </c>
      <c r="O326" s="42"/>
      <c r="P326" s="45">
        <v>0</v>
      </c>
      <c r="Q326" s="42"/>
      <c r="R326" s="45">
        <v>0</v>
      </c>
    </row>
    <row r="327" spans="1:18" x14ac:dyDescent="0.2">
      <c r="A327" s="42"/>
      <c r="B327" s="42"/>
      <c r="C327" s="42" t="s">
        <v>140</v>
      </c>
      <c r="D327" s="42"/>
      <c r="E327" s="42"/>
      <c r="F327" s="45">
        <v>415000</v>
      </c>
      <c r="G327" s="42"/>
      <c r="H327" s="45">
        <v>163000</v>
      </c>
      <c r="I327" s="42"/>
      <c r="J327" s="45">
        <v>-5000</v>
      </c>
      <c r="K327" s="42"/>
      <c r="L327" s="45">
        <v>257000</v>
      </c>
      <c r="M327" s="42"/>
      <c r="N327" s="45">
        <v>255000</v>
      </c>
      <c r="O327" s="42"/>
      <c r="P327" s="45">
        <v>160000</v>
      </c>
      <c r="Q327" s="42"/>
      <c r="R327" s="45">
        <v>0</v>
      </c>
    </row>
    <row r="328" spans="1:18" x14ac:dyDescent="0.2">
      <c r="A328" s="42"/>
      <c r="B328" s="42"/>
      <c r="C328" s="42" t="s">
        <v>141</v>
      </c>
      <c r="D328" s="42"/>
      <c r="E328" s="42"/>
      <c r="F328" s="45">
        <v>140000</v>
      </c>
      <c r="G328" s="42"/>
      <c r="H328" s="45">
        <v>0</v>
      </c>
      <c r="I328" s="42"/>
      <c r="J328" s="45">
        <v>17000</v>
      </c>
      <c r="K328" s="42"/>
      <c r="L328" s="45">
        <v>123000</v>
      </c>
      <c r="M328" s="42"/>
      <c r="N328" s="45">
        <v>49000</v>
      </c>
      <c r="O328" s="42"/>
      <c r="P328" s="45">
        <v>91000</v>
      </c>
      <c r="Q328" s="42"/>
      <c r="R328" s="45">
        <v>0</v>
      </c>
    </row>
    <row r="329" spans="1:18" x14ac:dyDescent="0.2">
      <c r="A329" s="42"/>
      <c r="B329" s="42"/>
      <c r="C329" s="42" t="s">
        <v>142</v>
      </c>
      <c r="D329" s="42"/>
      <c r="E329" s="42"/>
      <c r="F329" s="45">
        <v>1000</v>
      </c>
      <c r="G329" s="42"/>
      <c r="H329" s="45">
        <v>0</v>
      </c>
      <c r="I329" s="42"/>
      <c r="J329" s="45">
        <v>1000</v>
      </c>
      <c r="K329" s="42"/>
      <c r="L329" s="45">
        <v>0</v>
      </c>
      <c r="M329" s="42"/>
      <c r="N329" s="45">
        <v>1000</v>
      </c>
      <c r="O329" s="42"/>
      <c r="P329" s="45">
        <v>0</v>
      </c>
      <c r="Q329" s="42"/>
      <c r="R329" s="45">
        <v>0</v>
      </c>
    </row>
    <row r="330" spans="1:18" x14ac:dyDescent="0.2">
      <c r="A330" s="42"/>
      <c r="B330" s="42"/>
      <c r="C330" s="42" t="s">
        <v>143</v>
      </c>
      <c r="D330" s="42"/>
      <c r="E330" s="42"/>
      <c r="F330" s="45">
        <v>39000</v>
      </c>
      <c r="G330" s="42"/>
      <c r="H330" s="45">
        <v>0</v>
      </c>
      <c r="I330" s="42"/>
      <c r="J330" s="45">
        <v>33000</v>
      </c>
      <c r="K330" s="42"/>
      <c r="L330" s="45">
        <v>6000</v>
      </c>
      <c r="M330" s="42"/>
      <c r="N330" s="45">
        <v>2000</v>
      </c>
      <c r="O330" s="42"/>
      <c r="P330" s="45">
        <v>37000</v>
      </c>
      <c r="Q330" s="42"/>
      <c r="R330" s="45">
        <v>0</v>
      </c>
    </row>
    <row r="331" spans="1:18" x14ac:dyDescent="0.2">
      <c r="A331" s="42"/>
      <c r="B331" s="42"/>
      <c r="C331" s="42" t="s">
        <v>144</v>
      </c>
      <c r="D331" s="42"/>
      <c r="E331" s="42"/>
      <c r="F331" s="45">
        <v>1066000</v>
      </c>
      <c r="G331" s="42"/>
      <c r="H331" s="45">
        <v>1000</v>
      </c>
      <c r="I331" s="42"/>
      <c r="J331" s="45">
        <v>31000</v>
      </c>
      <c r="K331" s="42"/>
      <c r="L331" s="45">
        <v>1034000</v>
      </c>
      <c r="M331" s="42"/>
      <c r="N331" s="45">
        <v>703000</v>
      </c>
      <c r="O331" s="42"/>
      <c r="P331" s="45">
        <v>363000</v>
      </c>
      <c r="Q331" s="42"/>
      <c r="R331" s="45">
        <v>0</v>
      </c>
    </row>
    <row r="332" spans="1:18" x14ac:dyDescent="0.2">
      <c r="A332" s="42"/>
      <c r="B332" s="42"/>
      <c r="C332" s="42" t="s">
        <v>162</v>
      </c>
      <c r="D332" s="42"/>
      <c r="E332" s="42"/>
      <c r="F332" s="45">
        <v>822000</v>
      </c>
      <c r="G332" s="42"/>
      <c r="H332" s="45">
        <v>67000</v>
      </c>
      <c r="I332" s="42"/>
      <c r="J332" s="45">
        <v>59000</v>
      </c>
      <c r="K332" s="42"/>
      <c r="L332" s="45">
        <v>696000</v>
      </c>
      <c r="M332" s="42"/>
      <c r="N332" s="45">
        <v>480000</v>
      </c>
      <c r="O332" s="42"/>
      <c r="P332" s="45">
        <v>342000</v>
      </c>
      <c r="Q332" s="42"/>
      <c r="R332" s="45">
        <v>0</v>
      </c>
    </row>
    <row r="333" spans="1:18" x14ac:dyDescent="0.2">
      <c r="A333" s="42"/>
      <c r="B333" s="42"/>
      <c r="C333" s="42" t="s">
        <v>163</v>
      </c>
      <c r="D333" s="42"/>
      <c r="E333" s="42"/>
      <c r="F333" s="45">
        <v>27000</v>
      </c>
      <c r="G333" s="42"/>
      <c r="H333" s="45">
        <v>0</v>
      </c>
      <c r="I333" s="42"/>
      <c r="J333" s="45">
        <v>0</v>
      </c>
      <c r="K333" s="42"/>
      <c r="L333" s="45">
        <v>27000</v>
      </c>
      <c r="M333" s="42"/>
      <c r="N333" s="45">
        <v>0</v>
      </c>
      <c r="O333" s="42"/>
      <c r="P333" s="45">
        <v>27000</v>
      </c>
      <c r="Q333" s="42"/>
      <c r="R333" s="45">
        <v>0</v>
      </c>
    </row>
    <row r="334" spans="1:18" x14ac:dyDescent="0.2">
      <c r="A334" s="42"/>
      <c r="B334" s="42"/>
      <c r="C334" s="42" t="s">
        <v>164</v>
      </c>
      <c r="D334" s="42"/>
      <c r="E334" s="42"/>
      <c r="F334" s="45">
        <v>-2000</v>
      </c>
      <c r="G334" s="42"/>
      <c r="H334" s="45">
        <v>0</v>
      </c>
      <c r="I334" s="42"/>
      <c r="J334" s="45">
        <v>0</v>
      </c>
      <c r="K334" s="42"/>
      <c r="L334" s="45">
        <v>-2000</v>
      </c>
      <c r="M334" s="42"/>
      <c r="N334" s="45">
        <v>0</v>
      </c>
      <c r="O334" s="42"/>
      <c r="P334" s="45">
        <v>-2000</v>
      </c>
      <c r="Q334" s="42"/>
      <c r="R334" s="45">
        <v>0</v>
      </c>
    </row>
    <row r="335" spans="1:18" x14ac:dyDescent="0.2">
      <c r="A335" s="42"/>
      <c r="B335" s="42"/>
      <c r="C335" s="42" t="s">
        <v>150</v>
      </c>
      <c r="D335" s="42"/>
      <c r="E335" s="42"/>
      <c r="F335" s="43">
        <v>152000</v>
      </c>
      <c r="G335" s="42"/>
      <c r="H335" s="43">
        <v>13000</v>
      </c>
      <c r="I335" s="42"/>
      <c r="J335" s="43">
        <v>119000</v>
      </c>
      <c r="K335" s="42"/>
      <c r="L335" s="43">
        <v>20000</v>
      </c>
      <c r="M335" s="42"/>
      <c r="N335" s="43">
        <v>69000</v>
      </c>
      <c r="O335" s="42"/>
      <c r="P335" s="43">
        <v>83000</v>
      </c>
      <c r="Q335" s="42"/>
      <c r="R335" s="43">
        <v>0</v>
      </c>
    </row>
    <row r="336" spans="1:18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</row>
    <row r="337" spans="1:18" x14ac:dyDescent="0.2">
      <c r="A337" s="42"/>
      <c r="B337" s="42"/>
      <c r="C337" s="42"/>
      <c r="D337" s="42"/>
      <c r="E337" s="42" t="s">
        <v>3</v>
      </c>
      <c r="F337" s="43">
        <v>87277000</v>
      </c>
      <c r="G337" s="42"/>
      <c r="H337" s="43">
        <v>918000</v>
      </c>
      <c r="I337" s="42"/>
      <c r="J337" s="43">
        <v>3200000</v>
      </c>
      <c r="K337" s="42"/>
      <c r="L337" s="43">
        <v>83159000</v>
      </c>
      <c r="M337" s="42"/>
      <c r="N337" s="43">
        <v>39567000</v>
      </c>
      <c r="O337" s="42"/>
      <c r="P337" s="43">
        <v>47721000</v>
      </c>
      <c r="Q337" s="42"/>
      <c r="R337" s="43">
        <v>11000</v>
      </c>
    </row>
    <row r="338" spans="1:18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</row>
    <row r="339" spans="1:18" x14ac:dyDescent="0.2">
      <c r="A339" s="42"/>
      <c r="B339" s="42" t="s">
        <v>28</v>
      </c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</row>
    <row r="340" spans="1:18" x14ac:dyDescent="0.2">
      <c r="A340" s="42"/>
      <c r="B340" s="42"/>
      <c r="C340" s="42" t="s">
        <v>87</v>
      </c>
      <c r="D340" s="42"/>
      <c r="E340" s="42"/>
      <c r="F340" s="45">
        <v>179000</v>
      </c>
      <c r="G340" s="42"/>
      <c r="H340" s="45">
        <v>0</v>
      </c>
      <c r="I340" s="42"/>
      <c r="J340" s="45">
        <v>0</v>
      </c>
      <c r="K340" s="42"/>
      <c r="L340" s="45">
        <v>179000</v>
      </c>
      <c r="M340" s="42"/>
      <c r="N340" s="45">
        <v>27000</v>
      </c>
      <c r="O340" s="42"/>
      <c r="P340" s="45">
        <v>152000</v>
      </c>
      <c r="Q340" s="42"/>
      <c r="R340" s="45">
        <v>0</v>
      </c>
    </row>
    <row r="341" spans="1:18" x14ac:dyDescent="0.2">
      <c r="A341" s="42"/>
      <c r="B341" s="42"/>
      <c r="C341" s="42" t="s">
        <v>92</v>
      </c>
      <c r="D341" s="42"/>
      <c r="E341" s="42"/>
      <c r="F341" s="45">
        <v>0</v>
      </c>
      <c r="G341" s="42"/>
      <c r="H341" s="45">
        <v>0</v>
      </c>
      <c r="I341" s="42"/>
      <c r="J341" s="45">
        <v>0</v>
      </c>
      <c r="K341" s="42"/>
      <c r="L341" s="45">
        <v>0</v>
      </c>
      <c r="M341" s="42"/>
      <c r="N341" s="45">
        <v>0</v>
      </c>
      <c r="O341" s="42"/>
      <c r="P341" s="45">
        <v>0</v>
      </c>
      <c r="Q341" s="42"/>
      <c r="R341" s="45">
        <v>0</v>
      </c>
    </row>
    <row r="342" spans="1:18" x14ac:dyDescent="0.2">
      <c r="A342" s="42"/>
      <c r="B342" s="42"/>
      <c r="C342" s="42" t="s">
        <v>100</v>
      </c>
      <c r="D342" s="42"/>
      <c r="E342" s="42"/>
      <c r="F342" s="45">
        <v>43000</v>
      </c>
      <c r="G342" s="42"/>
      <c r="H342" s="45">
        <v>0</v>
      </c>
      <c r="I342" s="42"/>
      <c r="J342" s="45">
        <v>41000</v>
      </c>
      <c r="K342" s="42"/>
      <c r="L342" s="45">
        <v>2000</v>
      </c>
      <c r="M342" s="42"/>
      <c r="N342" s="45">
        <v>3000</v>
      </c>
      <c r="O342" s="42"/>
      <c r="P342" s="45">
        <v>40000</v>
      </c>
      <c r="Q342" s="42"/>
      <c r="R342" s="45">
        <v>0</v>
      </c>
    </row>
    <row r="343" spans="1:18" x14ac:dyDescent="0.2">
      <c r="A343" s="42"/>
      <c r="B343" s="42"/>
      <c r="C343" s="42" t="s">
        <v>101</v>
      </c>
      <c r="D343" s="42"/>
      <c r="E343" s="42"/>
      <c r="F343" s="45">
        <v>430000</v>
      </c>
      <c r="G343" s="42"/>
      <c r="H343" s="45">
        <v>0</v>
      </c>
      <c r="I343" s="42"/>
      <c r="J343" s="45">
        <v>0</v>
      </c>
      <c r="K343" s="42"/>
      <c r="L343" s="45">
        <v>430000</v>
      </c>
      <c r="M343" s="42"/>
      <c r="N343" s="45">
        <v>22000</v>
      </c>
      <c r="O343" s="42"/>
      <c r="P343" s="45">
        <v>408000</v>
      </c>
      <c r="Q343" s="42"/>
      <c r="R343" s="45">
        <v>0</v>
      </c>
    </row>
    <row r="344" spans="1:18" x14ac:dyDescent="0.2">
      <c r="A344" s="42"/>
      <c r="B344" s="42"/>
      <c r="C344" s="42" t="s">
        <v>112</v>
      </c>
      <c r="D344" s="42"/>
      <c r="E344" s="42"/>
      <c r="F344" s="45">
        <v>604000</v>
      </c>
      <c r="G344" s="42"/>
      <c r="H344" s="45">
        <v>48000</v>
      </c>
      <c r="I344" s="42"/>
      <c r="J344" s="45">
        <v>347000</v>
      </c>
      <c r="K344" s="42"/>
      <c r="L344" s="45">
        <v>209000</v>
      </c>
      <c r="M344" s="42"/>
      <c r="N344" s="45">
        <v>339000</v>
      </c>
      <c r="O344" s="42"/>
      <c r="P344" s="45">
        <v>265000</v>
      </c>
      <c r="Q344" s="42"/>
      <c r="R344" s="45">
        <v>0</v>
      </c>
    </row>
    <row r="345" spans="1:18" x14ac:dyDescent="0.2">
      <c r="A345" s="42"/>
      <c r="B345" s="42"/>
      <c r="C345" s="42" t="s">
        <v>155</v>
      </c>
      <c r="D345" s="42"/>
      <c r="E345" s="42"/>
      <c r="F345" s="45">
        <v>0</v>
      </c>
      <c r="G345" s="42"/>
      <c r="H345" s="45">
        <v>0</v>
      </c>
      <c r="I345" s="42"/>
      <c r="J345" s="45">
        <v>0</v>
      </c>
      <c r="K345" s="42"/>
      <c r="L345" s="45">
        <v>0</v>
      </c>
      <c r="M345" s="42"/>
      <c r="N345" s="45">
        <v>0</v>
      </c>
      <c r="O345" s="42"/>
      <c r="P345" s="45">
        <v>0</v>
      </c>
      <c r="Q345" s="42"/>
      <c r="R345" s="45">
        <v>0</v>
      </c>
    </row>
    <row r="346" spans="1:18" x14ac:dyDescent="0.2">
      <c r="A346" s="42"/>
      <c r="B346" s="42"/>
      <c r="C346" s="42" t="s">
        <v>159</v>
      </c>
      <c r="D346" s="42"/>
      <c r="E346" s="42"/>
      <c r="F346" s="45">
        <v>73000</v>
      </c>
      <c r="G346" s="42"/>
      <c r="H346" s="45">
        <v>0</v>
      </c>
      <c r="I346" s="42"/>
      <c r="J346" s="45">
        <v>0</v>
      </c>
      <c r="K346" s="42"/>
      <c r="L346" s="45">
        <v>73000</v>
      </c>
      <c r="M346" s="42"/>
      <c r="N346" s="45">
        <v>38000</v>
      </c>
      <c r="O346" s="42"/>
      <c r="P346" s="45">
        <v>35000</v>
      </c>
      <c r="Q346" s="42"/>
      <c r="R346" s="45">
        <v>0</v>
      </c>
    </row>
    <row r="347" spans="1:18" x14ac:dyDescent="0.2">
      <c r="A347" s="42"/>
      <c r="B347" s="42"/>
      <c r="C347" s="42" t="s">
        <v>122</v>
      </c>
      <c r="D347" s="42"/>
      <c r="E347" s="42"/>
      <c r="F347" s="45">
        <v>0</v>
      </c>
      <c r="G347" s="42"/>
      <c r="H347" s="45">
        <v>0</v>
      </c>
      <c r="I347" s="42"/>
      <c r="J347" s="45">
        <v>0</v>
      </c>
      <c r="K347" s="42"/>
      <c r="L347" s="45">
        <v>0</v>
      </c>
      <c r="M347" s="42"/>
      <c r="N347" s="45">
        <v>0</v>
      </c>
      <c r="O347" s="42"/>
      <c r="P347" s="45">
        <v>0</v>
      </c>
      <c r="Q347" s="42"/>
      <c r="R347" s="45">
        <v>0</v>
      </c>
    </row>
    <row r="348" spans="1:18" x14ac:dyDescent="0.2">
      <c r="A348" s="42"/>
      <c r="B348" s="42"/>
      <c r="C348" s="42" t="s">
        <v>126</v>
      </c>
      <c r="D348" s="42"/>
      <c r="E348" s="42"/>
      <c r="F348" s="45">
        <v>0</v>
      </c>
      <c r="G348" s="42"/>
      <c r="H348" s="45">
        <v>0</v>
      </c>
      <c r="I348" s="42"/>
      <c r="J348" s="45">
        <v>0</v>
      </c>
      <c r="K348" s="42"/>
      <c r="L348" s="45">
        <v>0</v>
      </c>
      <c r="M348" s="42"/>
      <c r="N348" s="45">
        <v>0</v>
      </c>
      <c r="O348" s="42"/>
      <c r="P348" s="45">
        <v>0</v>
      </c>
      <c r="Q348" s="42"/>
      <c r="R348" s="45">
        <v>0</v>
      </c>
    </row>
    <row r="349" spans="1:18" x14ac:dyDescent="0.2">
      <c r="A349" s="42"/>
      <c r="B349" s="42"/>
      <c r="C349" s="42" t="s">
        <v>130</v>
      </c>
      <c r="D349" s="42"/>
      <c r="E349" s="42"/>
      <c r="F349" s="45">
        <v>24000</v>
      </c>
      <c r="G349" s="42"/>
      <c r="H349" s="45">
        <v>0</v>
      </c>
      <c r="I349" s="42"/>
      <c r="J349" s="45">
        <v>0</v>
      </c>
      <c r="K349" s="42"/>
      <c r="L349" s="45">
        <v>24000</v>
      </c>
      <c r="M349" s="42"/>
      <c r="N349" s="45">
        <v>2000</v>
      </c>
      <c r="O349" s="42"/>
      <c r="P349" s="45">
        <v>22000</v>
      </c>
      <c r="Q349" s="42"/>
      <c r="R349" s="45">
        <v>0</v>
      </c>
    </row>
    <row r="350" spans="1:18" x14ac:dyDescent="0.2">
      <c r="A350" s="42"/>
      <c r="B350" s="42"/>
      <c r="C350" s="42" t="s">
        <v>131</v>
      </c>
      <c r="D350" s="42"/>
      <c r="E350" s="42"/>
      <c r="F350" s="43">
        <v>-1000</v>
      </c>
      <c r="G350" s="42"/>
      <c r="H350" s="43">
        <v>-1000</v>
      </c>
      <c r="I350" s="42"/>
      <c r="J350" s="43">
        <v>0</v>
      </c>
      <c r="K350" s="42"/>
      <c r="L350" s="43">
        <v>0</v>
      </c>
      <c r="M350" s="42"/>
      <c r="N350" s="43">
        <v>0</v>
      </c>
      <c r="O350" s="42"/>
      <c r="P350" s="43">
        <v>-1000</v>
      </c>
      <c r="Q350" s="42"/>
      <c r="R350" s="43">
        <v>0</v>
      </c>
    </row>
    <row r="351" spans="1:18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</row>
    <row r="352" spans="1:18" x14ac:dyDescent="0.2">
      <c r="A352" s="42"/>
      <c r="B352" s="42"/>
      <c r="C352" s="42"/>
      <c r="D352" s="42"/>
      <c r="E352" s="42" t="s">
        <v>3</v>
      </c>
      <c r="F352" s="43">
        <v>1352000</v>
      </c>
      <c r="G352" s="42"/>
      <c r="H352" s="43">
        <v>47000</v>
      </c>
      <c r="I352" s="42"/>
      <c r="J352" s="43">
        <v>388000</v>
      </c>
      <c r="K352" s="42"/>
      <c r="L352" s="43">
        <v>917000</v>
      </c>
      <c r="M352" s="42"/>
      <c r="N352" s="43">
        <v>431000</v>
      </c>
      <c r="O352" s="42"/>
      <c r="P352" s="43">
        <v>921000</v>
      </c>
      <c r="Q352" s="42"/>
      <c r="R352" s="43">
        <v>0</v>
      </c>
    </row>
    <row r="353" spans="1:18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</row>
    <row r="354" spans="1:18" x14ac:dyDescent="0.2">
      <c r="A354" s="42"/>
      <c r="B354" s="42" t="s">
        <v>29</v>
      </c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</row>
    <row r="355" spans="1:18" x14ac:dyDescent="0.2">
      <c r="A355" s="42"/>
      <c r="B355" s="42"/>
      <c r="C355" s="42" t="s">
        <v>86</v>
      </c>
      <c r="D355" s="42"/>
      <c r="E355" s="42"/>
      <c r="F355" s="45">
        <v>14000</v>
      </c>
      <c r="G355" s="42"/>
      <c r="H355" s="45">
        <v>0</v>
      </c>
      <c r="I355" s="42"/>
      <c r="J355" s="45">
        <v>13000</v>
      </c>
      <c r="K355" s="42"/>
      <c r="L355" s="45">
        <v>1000</v>
      </c>
      <c r="M355" s="42"/>
      <c r="N355" s="45">
        <v>74000</v>
      </c>
      <c r="O355" s="42"/>
      <c r="P355" s="45">
        <v>31000</v>
      </c>
      <c r="Q355" s="42"/>
      <c r="R355" s="45">
        <v>91000</v>
      </c>
    </row>
    <row r="356" spans="1:18" x14ac:dyDescent="0.2">
      <c r="A356" s="42"/>
      <c r="B356" s="42"/>
      <c r="C356" s="42" t="s">
        <v>87</v>
      </c>
      <c r="D356" s="42"/>
      <c r="E356" s="42"/>
      <c r="F356" s="45">
        <v>0</v>
      </c>
      <c r="G356" s="42"/>
      <c r="H356" s="45">
        <v>0</v>
      </c>
      <c r="I356" s="42"/>
      <c r="J356" s="45">
        <v>0</v>
      </c>
      <c r="K356" s="42"/>
      <c r="L356" s="45">
        <v>0</v>
      </c>
      <c r="M356" s="42"/>
      <c r="N356" s="45">
        <v>0</v>
      </c>
      <c r="O356" s="42"/>
      <c r="P356" s="45">
        <v>0</v>
      </c>
      <c r="Q356" s="42"/>
      <c r="R356" s="45">
        <v>0</v>
      </c>
    </row>
    <row r="357" spans="1:18" x14ac:dyDescent="0.2">
      <c r="A357" s="42"/>
      <c r="B357" s="42"/>
      <c r="C357" s="42" t="s">
        <v>90</v>
      </c>
      <c r="D357" s="42"/>
      <c r="E357" s="42"/>
      <c r="F357" s="45"/>
      <c r="G357" s="42"/>
      <c r="H357" s="45"/>
      <c r="I357" s="42"/>
      <c r="J357" s="45"/>
      <c r="K357" s="42"/>
      <c r="L357" s="45"/>
      <c r="M357" s="42"/>
      <c r="N357" s="45"/>
      <c r="O357" s="42"/>
      <c r="P357" s="45"/>
      <c r="Q357" s="42"/>
      <c r="R357" s="45"/>
    </row>
    <row r="358" spans="1:18" x14ac:dyDescent="0.2">
      <c r="A358" s="42"/>
      <c r="B358" s="42"/>
      <c r="C358" s="42"/>
      <c r="D358" s="42"/>
      <c r="E358" s="42" t="s">
        <v>91</v>
      </c>
      <c r="F358" s="45">
        <v>480000</v>
      </c>
      <c r="G358" s="42"/>
      <c r="H358" s="45">
        <v>8000</v>
      </c>
      <c r="I358" s="42"/>
      <c r="J358" s="45">
        <v>116000</v>
      </c>
      <c r="K358" s="42"/>
      <c r="L358" s="45">
        <v>356000</v>
      </c>
      <c r="M358" s="42"/>
      <c r="N358" s="45">
        <v>238000</v>
      </c>
      <c r="O358" s="42"/>
      <c r="P358" s="45">
        <v>242000</v>
      </c>
      <c r="Q358" s="42"/>
      <c r="R358" s="45">
        <v>0</v>
      </c>
    </row>
    <row r="359" spans="1:18" x14ac:dyDescent="0.2">
      <c r="A359" s="42"/>
      <c r="B359" s="42"/>
      <c r="C359" s="42" t="s">
        <v>39</v>
      </c>
      <c r="D359" s="42"/>
      <c r="E359" s="42"/>
      <c r="F359" s="45">
        <v>395000</v>
      </c>
      <c r="G359" s="42"/>
      <c r="H359" s="45">
        <v>0</v>
      </c>
      <c r="I359" s="42"/>
      <c r="J359" s="45">
        <v>394000</v>
      </c>
      <c r="K359" s="42"/>
      <c r="L359" s="45">
        <v>1000</v>
      </c>
      <c r="M359" s="42"/>
      <c r="N359" s="45">
        <v>207000</v>
      </c>
      <c r="O359" s="42"/>
      <c r="P359" s="45">
        <v>188000</v>
      </c>
      <c r="Q359" s="42"/>
      <c r="R359" s="45">
        <v>0</v>
      </c>
    </row>
    <row r="360" spans="1:18" x14ac:dyDescent="0.2">
      <c r="A360" s="42"/>
      <c r="B360" s="42"/>
      <c r="C360" s="42" t="s">
        <v>99</v>
      </c>
      <c r="D360" s="42"/>
      <c r="E360" s="42"/>
      <c r="F360" s="45">
        <v>-98000</v>
      </c>
      <c r="G360" s="42"/>
      <c r="H360" s="45">
        <v>-94000</v>
      </c>
      <c r="I360" s="42"/>
      <c r="J360" s="45">
        <v>-4000</v>
      </c>
      <c r="K360" s="42"/>
      <c r="L360" s="45">
        <v>0</v>
      </c>
      <c r="M360" s="42"/>
      <c r="N360" s="45">
        <v>85000</v>
      </c>
      <c r="O360" s="42"/>
      <c r="P360" s="45">
        <v>-183000</v>
      </c>
      <c r="Q360" s="42"/>
      <c r="R360" s="45">
        <v>0</v>
      </c>
    </row>
    <row r="361" spans="1:18" x14ac:dyDescent="0.2">
      <c r="A361" s="42"/>
      <c r="B361" s="42"/>
      <c r="C361" s="42" t="s">
        <v>165</v>
      </c>
      <c r="D361" s="42"/>
      <c r="E361" s="42"/>
      <c r="F361" s="45">
        <v>53000</v>
      </c>
      <c r="G361" s="42"/>
      <c r="H361" s="45">
        <v>0</v>
      </c>
      <c r="I361" s="42"/>
      <c r="J361" s="45">
        <v>53000</v>
      </c>
      <c r="K361" s="42"/>
      <c r="L361" s="45">
        <v>0</v>
      </c>
      <c r="M361" s="42"/>
      <c r="N361" s="45">
        <v>57000</v>
      </c>
      <c r="O361" s="42"/>
      <c r="P361" s="45">
        <v>101000</v>
      </c>
      <c r="Q361" s="42"/>
      <c r="R361" s="45">
        <v>105000</v>
      </c>
    </row>
    <row r="362" spans="1:18" x14ac:dyDescent="0.2">
      <c r="A362" s="42"/>
      <c r="B362" s="42"/>
      <c r="C362" s="42" t="s">
        <v>109</v>
      </c>
      <c r="D362" s="42"/>
      <c r="E362" s="42"/>
      <c r="F362" s="45">
        <v>92000</v>
      </c>
      <c r="G362" s="42"/>
      <c r="H362" s="45">
        <v>92000</v>
      </c>
      <c r="I362" s="42"/>
      <c r="J362" s="45">
        <v>0</v>
      </c>
      <c r="K362" s="42"/>
      <c r="L362" s="45">
        <v>0</v>
      </c>
      <c r="M362" s="42"/>
      <c r="N362" s="45">
        <v>63000</v>
      </c>
      <c r="O362" s="42"/>
      <c r="P362" s="45">
        <v>29000</v>
      </c>
      <c r="Q362" s="42"/>
      <c r="R362" s="45">
        <v>0</v>
      </c>
    </row>
    <row r="363" spans="1:18" x14ac:dyDescent="0.2">
      <c r="A363" s="42"/>
      <c r="B363" s="42"/>
      <c r="C363" s="42" t="s">
        <v>155</v>
      </c>
      <c r="D363" s="42"/>
      <c r="E363" s="42"/>
      <c r="F363" s="45">
        <v>263000</v>
      </c>
      <c r="G363" s="42"/>
      <c r="H363" s="45">
        <v>96000</v>
      </c>
      <c r="I363" s="42"/>
      <c r="J363" s="45">
        <v>75000</v>
      </c>
      <c r="K363" s="42"/>
      <c r="L363" s="45">
        <v>92000</v>
      </c>
      <c r="M363" s="42"/>
      <c r="N363" s="45">
        <v>182000</v>
      </c>
      <c r="O363" s="42"/>
      <c r="P363" s="45">
        <v>127000</v>
      </c>
      <c r="Q363" s="42"/>
      <c r="R363" s="45">
        <v>46000</v>
      </c>
    </row>
    <row r="364" spans="1:18" x14ac:dyDescent="0.2">
      <c r="A364" s="42"/>
      <c r="B364" s="42"/>
      <c r="C364" s="42" t="s">
        <v>120</v>
      </c>
      <c r="D364" s="42"/>
      <c r="E364" s="42"/>
      <c r="F364" s="45">
        <v>31000</v>
      </c>
      <c r="G364" s="42"/>
      <c r="H364" s="45">
        <v>0</v>
      </c>
      <c r="I364" s="42"/>
      <c r="J364" s="45">
        <v>31000</v>
      </c>
      <c r="K364" s="42"/>
      <c r="L364" s="45">
        <v>0</v>
      </c>
      <c r="M364" s="42"/>
      <c r="N364" s="45">
        <v>0</v>
      </c>
      <c r="O364" s="42"/>
      <c r="P364" s="45">
        <v>31000</v>
      </c>
      <c r="Q364" s="42"/>
      <c r="R364" s="45">
        <v>0</v>
      </c>
    </row>
    <row r="365" spans="1:18" x14ac:dyDescent="0.2">
      <c r="A365" s="42"/>
      <c r="B365" s="42"/>
      <c r="C365" s="42" t="s">
        <v>159</v>
      </c>
      <c r="D365" s="42"/>
      <c r="E365" s="42"/>
      <c r="F365" s="45">
        <v>102000</v>
      </c>
      <c r="G365" s="42"/>
      <c r="H365" s="45">
        <v>84000</v>
      </c>
      <c r="I365" s="42"/>
      <c r="J365" s="45">
        <v>0</v>
      </c>
      <c r="K365" s="42"/>
      <c r="L365" s="45">
        <v>18000</v>
      </c>
      <c r="M365" s="42"/>
      <c r="N365" s="45">
        <v>68000</v>
      </c>
      <c r="O365" s="42"/>
      <c r="P365" s="45">
        <v>34000</v>
      </c>
      <c r="Q365" s="42"/>
      <c r="R365" s="45">
        <v>0</v>
      </c>
    </row>
    <row r="366" spans="1:18" x14ac:dyDescent="0.2">
      <c r="A366" s="42"/>
      <c r="B366" s="42"/>
      <c r="C366" s="42" t="s">
        <v>166</v>
      </c>
      <c r="D366" s="42"/>
      <c r="E366" s="42"/>
      <c r="F366" s="45">
        <v>277000</v>
      </c>
      <c r="G366" s="42"/>
      <c r="H366" s="45">
        <v>0</v>
      </c>
      <c r="I366" s="42"/>
      <c r="J366" s="45">
        <v>263000</v>
      </c>
      <c r="K366" s="42"/>
      <c r="L366" s="45">
        <v>14000</v>
      </c>
      <c r="M366" s="42"/>
      <c r="N366" s="45">
        <v>1617000</v>
      </c>
      <c r="O366" s="42"/>
      <c r="P366" s="45">
        <v>6253000</v>
      </c>
      <c r="Q366" s="42"/>
      <c r="R366" s="45">
        <v>7593000</v>
      </c>
    </row>
    <row r="367" spans="1:18" x14ac:dyDescent="0.2">
      <c r="A367" s="42"/>
      <c r="B367" s="42"/>
      <c r="C367" s="42" t="s">
        <v>126</v>
      </c>
      <c r="D367" s="42"/>
      <c r="E367" s="42"/>
      <c r="F367" s="45">
        <v>0</v>
      </c>
      <c r="G367" s="42"/>
      <c r="H367" s="45">
        <v>0</v>
      </c>
      <c r="I367" s="42"/>
      <c r="J367" s="45">
        <v>0</v>
      </c>
      <c r="K367" s="42"/>
      <c r="L367" s="45">
        <v>0</v>
      </c>
      <c r="M367" s="42"/>
      <c r="N367" s="45">
        <v>0</v>
      </c>
      <c r="O367" s="42"/>
      <c r="P367" s="45">
        <v>0</v>
      </c>
      <c r="Q367" s="42"/>
      <c r="R367" s="45">
        <v>0</v>
      </c>
    </row>
    <row r="368" spans="1:18" x14ac:dyDescent="0.2">
      <c r="A368" s="42"/>
      <c r="B368" s="42"/>
      <c r="C368" s="42" t="s">
        <v>129</v>
      </c>
      <c r="D368" s="42"/>
      <c r="E368" s="42"/>
      <c r="F368" s="45">
        <v>0</v>
      </c>
      <c r="G368" s="42"/>
      <c r="H368" s="45">
        <v>0</v>
      </c>
      <c r="I368" s="42"/>
      <c r="J368" s="45">
        <v>0</v>
      </c>
      <c r="K368" s="42"/>
      <c r="L368" s="45">
        <v>0</v>
      </c>
      <c r="M368" s="42"/>
      <c r="N368" s="45">
        <v>0</v>
      </c>
      <c r="O368" s="42"/>
      <c r="P368" s="45">
        <v>0</v>
      </c>
      <c r="Q368" s="42"/>
      <c r="R368" s="45">
        <v>0</v>
      </c>
    </row>
    <row r="369" spans="1:18" x14ac:dyDescent="0.2">
      <c r="A369" s="42"/>
      <c r="B369" s="42"/>
      <c r="C369" s="42" t="s">
        <v>130</v>
      </c>
      <c r="D369" s="42"/>
      <c r="E369" s="42"/>
      <c r="F369" s="45">
        <v>41000</v>
      </c>
      <c r="G369" s="42"/>
      <c r="H369" s="45">
        <v>2000</v>
      </c>
      <c r="I369" s="42"/>
      <c r="J369" s="45">
        <v>10000</v>
      </c>
      <c r="K369" s="42"/>
      <c r="L369" s="45">
        <v>29000</v>
      </c>
      <c r="M369" s="42"/>
      <c r="N369" s="45">
        <v>30000</v>
      </c>
      <c r="O369" s="42"/>
      <c r="P369" s="45">
        <v>11000</v>
      </c>
      <c r="Q369" s="42"/>
      <c r="R369" s="45">
        <v>0</v>
      </c>
    </row>
    <row r="370" spans="1:18" x14ac:dyDescent="0.2">
      <c r="A370" s="42"/>
      <c r="B370" s="42"/>
      <c r="C370" s="42" t="s">
        <v>132</v>
      </c>
      <c r="D370" s="42"/>
      <c r="E370" s="42"/>
      <c r="F370" s="45">
        <v>0</v>
      </c>
      <c r="G370" s="42"/>
      <c r="H370" s="45">
        <v>0</v>
      </c>
      <c r="I370" s="42"/>
      <c r="J370" s="45">
        <v>0</v>
      </c>
      <c r="K370" s="42"/>
      <c r="L370" s="45">
        <v>0</v>
      </c>
      <c r="M370" s="42"/>
      <c r="N370" s="45">
        <v>0</v>
      </c>
      <c r="O370" s="42"/>
      <c r="P370" s="45">
        <v>0</v>
      </c>
      <c r="Q370" s="42"/>
      <c r="R370" s="45">
        <v>0</v>
      </c>
    </row>
    <row r="371" spans="1:18" x14ac:dyDescent="0.2">
      <c r="A371" s="42"/>
      <c r="B371" s="42"/>
      <c r="C371" s="42" t="s">
        <v>133</v>
      </c>
      <c r="D371" s="42"/>
      <c r="E371" s="42"/>
      <c r="F371" s="45">
        <v>222000</v>
      </c>
      <c r="G371" s="42"/>
      <c r="H371" s="45">
        <v>76000</v>
      </c>
      <c r="I371" s="42"/>
      <c r="J371" s="45">
        <v>146000</v>
      </c>
      <c r="K371" s="42"/>
      <c r="L371" s="45">
        <v>0</v>
      </c>
      <c r="M371" s="42"/>
      <c r="N371" s="45">
        <v>142000</v>
      </c>
      <c r="O371" s="42"/>
      <c r="P371" s="45">
        <v>80000</v>
      </c>
      <c r="Q371" s="42"/>
      <c r="R371" s="45">
        <v>0</v>
      </c>
    </row>
    <row r="372" spans="1:18" x14ac:dyDescent="0.2">
      <c r="A372" s="42"/>
      <c r="B372" s="42"/>
      <c r="C372" s="42" t="s">
        <v>144</v>
      </c>
      <c r="D372" s="42"/>
      <c r="E372" s="42"/>
      <c r="F372" s="45">
        <v>74000</v>
      </c>
      <c r="G372" s="42"/>
      <c r="H372" s="45">
        <v>74000</v>
      </c>
      <c r="I372" s="42"/>
      <c r="J372" s="45">
        <v>0</v>
      </c>
      <c r="K372" s="42"/>
      <c r="L372" s="45">
        <v>0</v>
      </c>
      <c r="M372" s="42"/>
      <c r="N372" s="45">
        <v>50000</v>
      </c>
      <c r="O372" s="42"/>
      <c r="P372" s="45">
        <v>24000</v>
      </c>
      <c r="Q372" s="42"/>
      <c r="R372" s="45">
        <v>0</v>
      </c>
    </row>
    <row r="373" spans="1:18" x14ac:dyDescent="0.2">
      <c r="A373" s="42"/>
      <c r="B373" s="42"/>
      <c r="C373" s="42" t="s">
        <v>149</v>
      </c>
      <c r="D373" s="42"/>
      <c r="E373" s="42"/>
      <c r="F373" s="43">
        <v>0</v>
      </c>
      <c r="G373" s="42"/>
      <c r="H373" s="43">
        <v>0</v>
      </c>
      <c r="I373" s="42"/>
      <c r="J373" s="43">
        <v>0</v>
      </c>
      <c r="K373" s="42"/>
      <c r="L373" s="43">
        <v>0</v>
      </c>
      <c r="M373" s="42"/>
      <c r="N373" s="43">
        <v>0</v>
      </c>
      <c r="O373" s="42"/>
      <c r="P373" s="43">
        <v>0</v>
      </c>
      <c r="Q373" s="42"/>
      <c r="R373" s="43">
        <v>0</v>
      </c>
    </row>
    <row r="374" spans="1:18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</row>
    <row r="375" spans="1:18" x14ac:dyDescent="0.2">
      <c r="A375" s="42"/>
      <c r="B375" s="42"/>
      <c r="C375" s="42"/>
      <c r="D375" s="42"/>
      <c r="E375" s="42" t="s">
        <v>3</v>
      </c>
      <c r="F375" s="43">
        <v>1946000</v>
      </c>
      <c r="G375" s="42"/>
      <c r="H375" s="43">
        <v>338000</v>
      </c>
      <c r="I375" s="42"/>
      <c r="J375" s="43">
        <v>1097000</v>
      </c>
      <c r="K375" s="42"/>
      <c r="L375" s="43">
        <v>511000</v>
      </c>
      <c r="M375" s="42"/>
      <c r="N375" s="43">
        <v>2813000</v>
      </c>
      <c r="O375" s="42"/>
      <c r="P375" s="43">
        <v>6968000</v>
      </c>
      <c r="Q375" s="42"/>
      <c r="R375" s="43">
        <v>7835000</v>
      </c>
    </row>
    <row r="376" spans="1:18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</row>
    <row r="377" spans="1:18" x14ac:dyDescent="0.2">
      <c r="A377" s="42"/>
      <c r="B377" s="42"/>
      <c r="C377" s="42"/>
      <c r="D377" s="42"/>
      <c r="E377" s="42" t="s">
        <v>167</v>
      </c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</row>
    <row r="378" spans="1:18" x14ac:dyDescent="0.2">
      <c r="A378" s="42"/>
      <c r="B378" s="42"/>
      <c r="C378" s="42"/>
      <c r="D378" s="42"/>
      <c r="E378" s="42" t="s">
        <v>168</v>
      </c>
      <c r="F378" s="43">
        <v>403380000</v>
      </c>
      <c r="G378" s="42"/>
      <c r="H378" s="43">
        <v>254918000</v>
      </c>
      <c r="I378" s="42"/>
      <c r="J378" s="43">
        <v>39766000</v>
      </c>
      <c r="K378" s="42"/>
      <c r="L378" s="43">
        <v>108696000</v>
      </c>
      <c r="M378" s="42"/>
      <c r="N378" s="43">
        <v>244061000</v>
      </c>
      <c r="O378" s="42"/>
      <c r="P378" s="43">
        <v>168139000</v>
      </c>
      <c r="Q378" s="42"/>
      <c r="R378" s="43">
        <v>8820000</v>
      </c>
    </row>
    <row r="379" spans="1:18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</row>
    <row r="380" spans="1:18" x14ac:dyDescent="0.2">
      <c r="A380" s="44" t="s">
        <v>169</v>
      </c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</row>
    <row r="381" spans="1:18" x14ac:dyDescent="0.2">
      <c r="A381" s="42"/>
      <c r="B381" s="44" t="s">
        <v>170</v>
      </c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</row>
    <row r="382" spans="1:18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</row>
    <row r="383" spans="1:18" x14ac:dyDescent="0.2">
      <c r="A383" s="42"/>
      <c r="B383" s="42" t="s">
        <v>13</v>
      </c>
      <c r="C383" s="42"/>
      <c r="D383" s="42"/>
      <c r="E383" s="42"/>
      <c r="F383" s="43">
        <v>16464000</v>
      </c>
      <c r="G383" s="42"/>
      <c r="H383" s="43">
        <v>3882000</v>
      </c>
      <c r="I383" s="42"/>
      <c r="J383" s="43">
        <v>12240000</v>
      </c>
      <c r="K383" s="42"/>
      <c r="L383" s="43">
        <v>342000</v>
      </c>
      <c r="M383" s="42"/>
      <c r="N383" s="43">
        <v>5750000</v>
      </c>
      <c r="O383" s="42"/>
      <c r="P383" s="43">
        <v>10714000</v>
      </c>
      <c r="Q383" s="42"/>
      <c r="R383" s="43">
        <v>0</v>
      </c>
    </row>
    <row r="384" spans="1:18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</row>
    <row r="385" spans="1:18" x14ac:dyDescent="0.2">
      <c r="A385" s="42"/>
      <c r="B385" s="42" t="s">
        <v>24</v>
      </c>
      <c r="C385" s="42"/>
      <c r="D385" s="42"/>
      <c r="E385" s="42"/>
      <c r="F385" s="43">
        <v>2797000</v>
      </c>
      <c r="G385" s="42"/>
      <c r="H385" s="43">
        <v>39000</v>
      </c>
      <c r="I385" s="42"/>
      <c r="J385" s="43">
        <v>153000</v>
      </c>
      <c r="K385" s="42"/>
      <c r="L385" s="43">
        <v>2605000</v>
      </c>
      <c r="M385" s="42"/>
      <c r="N385" s="43">
        <v>1562000</v>
      </c>
      <c r="O385" s="42"/>
      <c r="P385" s="43">
        <v>1235000</v>
      </c>
      <c r="Q385" s="42"/>
      <c r="R385" s="43">
        <v>0</v>
      </c>
    </row>
    <row r="386" spans="1:18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</row>
    <row r="387" spans="1:18" x14ac:dyDescent="0.2">
      <c r="A387" s="42"/>
      <c r="B387" s="42" t="s">
        <v>29</v>
      </c>
      <c r="C387" s="42"/>
      <c r="D387" s="42"/>
      <c r="E387" s="42"/>
      <c r="F387" s="43">
        <v>7000</v>
      </c>
      <c r="G387" s="42"/>
      <c r="H387" s="43">
        <v>0</v>
      </c>
      <c r="I387" s="42"/>
      <c r="J387" s="43">
        <v>3000</v>
      </c>
      <c r="K387" s="42"/>
      <c r="L387" s="43">
        <v>4000</v>
      </c>
      <c r="M387" s="42"/>
      <c r="N387" s="43">
        <v>0</v>
      </c>
      <c r="O387" s="42"/>
      <c r="P387" s="43">
        <v>7000</v>
      </c>
      <c r="Q387" s="42"/>
      <c r="R387" s="43">
        <v>0</v>
      </c>
    </row>
    <row r="388" spans="1:18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</row>
    <row r="389" spans="1:18" x14ac:dyDescent="0.2">
      <c r="A389" s="42"/>
      <c r="B389" s="42"/>
      <c r="C389" s="42"/>
      <c r="D389" s="42"/>
      <c r="E389" s="42" t="s">
        <v>171</v>
      </c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</row>
    <row r="390" spans="1:18" x14ac:dyDescent="0.2">
      <c r="A390" s="42"/>
      <c r="B390" s="42"/>
      <c r="C390" s="42"/>
      <c r="D390" s="42"/>
      <c r="E390" s="42" t="s">
        <v>172</v>
      </c>
      <c r="F390" s="43">
        <v>19268000</v>
      </c>
      <c r="G390" s="42"/>
      <c r="H390" s="43">
        <v>3921000</v>
      </c>
      <c r="I390" s="42"/>
      <c r="J390" s="43">
        <v>12396000</v>
      </c>
      <c r="K390" s="42"/>
      <c r="L390" s="43">
        <v>2951000</v>
      </c>
      <c r="M390" s="42"/>
      <c r="N390" s="43">
        <v>7312000</v>
      </c>
      <c r="O390" s="42"/>
      <c r="P390" s="43">
        <v>11956000</v>
      </c>
      <c r="Q390" s="42"/>
      <c r="R390" s="43">
        <v>0</v>
      </c>
    </row>
    <row r="391" spans="1:18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</row>
    <row r="392" spans="1:18" x14ac:dyDescent="0.2">
      <c r="A392" s="44" t="s">
        <v>173</v>
      </c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</row>
    <row r="393" spans="1:18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</row>
    <row r="394" spans="1:18" x14ac:dyDescent="0.2">
      <c r="A394" s="42"/>
      <c r="B394" s="42" t="s">
        <v>13</v>
      </c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</row>
    <row r="395" spans="1:18" x14ac:dyDescent="0.2">
      <c r="A395" s="42"/>
      <c r="B395" s="42"/>
      <c r="C395" s="42" t="s">
        <v>14</v>
      </c>
      <c r="D395" s="42"/>
      <c r="E395" s="42"/>
      <c r="F395" s="45">
        <v>2114000</v>
      </c>
      <c r="G395" s="42"/>
      <c r="H395" s="45">
        <v>2105000</v>
      </c>
      <c r="I395" s="42"/>
      <c r="J395" s="45">
        <v>3000</v>
      </c>
      <c r="K395" s="42"/>
      <c r="L395" s="45">
        <v>6000</v>
      </c>
      <c r="M395" s="42"/>
      <c r="N395" s="45">
        <v>1408000</v>
      </c>
      <c r="O395" s="42"/>
      <c r="P395" s="45">
        <v>706000</v>
      </c>
      <c r="Q395" s="42"/>
      <c r="R395" s="45">
        <v>0</v>
      </c>
    </row>
    <row r="396" spans="1:18" x14ac:dyDescent="0.2">
      <c r="A396" s="42"/>
      <c r="B396" s="42"/>
      <c r="C396" s="42" t="s">
        <v>39</v>
      </c>
      <c r="D396" s="42"/>
      <c r="E396" s="42"/>
      <c r="F396" s="45">
        <v>5092000</v>
      </c>
      <c r="G396" s="42"/>
      <c r="H396" s="45">
        <v>3029000</v>
      </c>
      <c r="I396" s="42"/>
      <c r="J396" s="45">
        <v>832000</v>
      </c>
      <c r="K396" s="42"/>
      <c r="L396" s="45">
        <v>1231000</v>
      </c>
      <c r="M396" s="42"/>
      <c r="N396" s="45">
        <v>2917000</v>
      </c>
      <c r="O396" s="42"/>
      <c r="P396" s="45">
        <v>2178000</v>
      </c>
      <c r="Q396" s="42"/>
      <c r="R396" s="45">
        <v>3000</v>
      </c>
    </row>
    <row r="397" spans="1:18" x14ac:dyDescent="0.2">
      <c r="A397" s="42"/>
      <c r="B397" s="42"/>
      <c r="C397" s="42" t="s">
        <v>174</v>
      </c>
      <c r="D397" s="42"/>
      <c r="E397" s="42"/>
      <c r="F397" s="45">
        <v>1669000</v>
      </c>
      <c r="G397" s="42"/>
      <c r="H397" s="45">
        <v>1629000</v>
      </c>
      <c r="I397" s="42"/>
      <c r="J397" s="45">
        <v>0</v>
      </c>
      <c r="K397" s="42"/>
      <c r="L397" s="45">
        <v>40000</v>
      </c>
      <c r="M397" s="42"/>
      <c r="N397" s="45">
        <v>1184000</v>
      </c>
      <c r="O397" s="42"/>
      <c r="P397" s="45">
        <v>485000</v>
      </c>
      <c r="Q397" s="42"/>
      <c r="R397" s="45">
        <v>0</v>
      </c>
    </row>
    <row r="398" spans="1:18" x14ac:dyDescent="0.2">
      <c r="A398" s="42"/>
      <c r="B398" s="42"/>
      <c r="C398" s="42" t="s">
        <v>175</v>
      </c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</row>
    <row r="399" spans="1:18" x14ac:dyDescent="0.2">
      <c r="A399" s="42"/>
      <c r="B399" s="42"/>
      <c r="C399" s="42"/>
      <c r="D399" s="42"/>
      <c r="E399" s="42" t="s">
        <v>176</v>
      </c>
      <c r="F399" s="45">
        <v>2843000</v>
      </c>
      <c r="G399" s="42"/>
      <c r="H399" s="45">
        <v>2651000</v>
      </c>
      <c r="I399" s="42"/>
      <c r="J399" s="45">
        <v>165000</v>
      </c>
      <c r="K399" s="42"/>
      <c r="L399" s="45">
        <v>27000</v>
      </c>
      <c r="M399" s="42"/>
      <c r="N399" s="45">
        <v>1464000</v>
      </c>
      <c r="O399" s="42"/>
      <c r="P399" s="45">
        <v>1379000</v>
      </c>
      <c r="Q399" s="42"/>
      <c r="R399" s="45">
        <v>0</v>
      </c>
    </row>
    <row r="400" spans="1:18" x14ac:dyDescent="0.2">
      <c r="A400" s="42"/>
      <c r="B400" s="42"/>
      <c r="C400" s="42" t="s">
        <v>25</v>
      </c>
      <c r="D400" s="42"/>
      <c r="E400" s="42"/>
      <c r="F400" s="45">
        <v>111000</v>
      </c>
      <c r="G400" s="42"/>
      <c r="H400" s="45">
        <v>0</v>
      </c>
      <c r="I400" s="42"/>
      <c r="J400" s="45">
        <v>45000</v>
      </c>
      <c r="K400" s="42"/>
      <c r="L400" s="45">
        <v>66000</v>
      </c>
      <c r="M400" s="42"/>
      <c r="N400" s="45">
        <v>124000</v>
      </c>
      <c r="O400" s="42"/>
      <c r="P400" s="45">
        <v>87000</v>
      </c>
      <c r="Q400" s="42"/>
      <c r="R400" s="45">
        <v>100000</v>
      </c>
    </row>
    <row r="401" spans="1:18" x14ac:dyDescent="0.2">
      <c r="A401" s="42"/>
      <c r="B401" s="42"/>
      <c r="C401" s="42" t="s">
        <v>17</v>
      </c>
      <c r="D401" s="42"/>
      <c r="E401" s="42"/>
      <c r="F401" s="45">
        <v>1035000</v>
      </c>
      <c r="G401" s="42"/>
      <c r="H401" s="45">
        <v>1035000</v>
      </c>
      <c r="I401" s="42"/>
      <c r="J401" s="45">
        <v>0</v>
      </c>
      <c r="K401" s="42"/>
      <c r="L401" s="45">
        <v>0</v>
      </c>
      <c r="M401" s="42"/>
      <c r="N401" s="45">
        <v>741000</v>
      </c>
      <c r="O401" s="42"/>
      <c r="P401" s="45">
        <v>294000</v>
      </c>
      <c r="Q401" s="42"/>
      <c r="R401" s="45">
        <v>0</v>
      </c>
    </row>
    <row r="402" spans="1:18" x14ac:dyDescent="0.2">
      <c r="A402" s="42"/>
      <c r="B402" s="42"/>
      <c r="C402" s="42" t="s">
        <v>18</v>
      </c>
      <c r="D402" s="42"/>
      <c r="E402" s="42"/>
      <c r="F402" s="45">
        <v>510000</v>
      </c>
      <c r="G402" s="42"/>
      <c r="H402" s="45">
        <v>510000</v>
      </c>
      <c r="I402" s="42"/>
      <c r="J402" s="45">
        <v>0</v>
      </c>
      <c r="K402" s="42"/>
      <c r="L402" s="45">
        <v>0</v>
      </c>
      <c r="M402" s="42"/>
      <c r="N402" s="45">
        <v>364000</v>
      </c>
      <c r="O402" s="42"/>
      <c r="P402" s="45">
        <v>146000</v>
      </c>
      <c r="Q402" s="42"/>
      <c r="R402" s="45">
        <v>0</v>
      </c>
    </row>
    <row r="403" spans="1:18" x14ac:dyDescent="0.2">
      <c r="A403" s="42"/>
      <c r="B403" s="42"/>
      <c r="C403" s="42" t="s">
        <v>177</v>
      </c>
      <c r="D403" s="42"/>
      <c r="E403" s="42"/>
      <c r="F403" s="45">
        <v>2038000</v>
      </c>
      <c r="G403" s="42"/>
      <c r="H403" s="45">
        <v>1808000</v>
      </c>
      <c r="I403" s="42"/>
      <c r="J403" s="45">
        <v>128000</v>
      </c>
      <c r="K403" s="42"/>
      <c r="L403" s="45">
        <v>102000</v>
      </c>
      <c r="M403" s="42"/>
      <c r="N403" s="45">
        <v>1319000</v>
      </c>
      <c r="O403" s="42"/>
      <c r="P403" s="45">
        <v>719000</v>
      </c>
      <c r="Q403" s="42"/>
      <c r="R403" s="45">
        <v>0</v>
      </c>
    </row>
    <row r="404" spans="1:18" x14ac:dyDescent="0.2">
      <c r="A404" s="42"/>
      <c r="B404" s="42"/>
      <c r="C404" s="42" t="s">
        <v>178</v>
      </c>
      <c r="D404" s="42"/>
      <c r="E404" s="42"/>
      <c r="F404" s="45">
        <v>2000</v>
      </c>
      <c r="G404" s="42"/>
      <c r="H404" s="45">
        <v>2000</v>
      </c>
      <c r="I404" s="42"/>
      <c r="J404" s="45">
        <v>0</v>
      </c>
      <c r="K404" s="42"/>
      <c r="L404" s="45">
        <v>0</v>
      </c>
      <c r="M404" s="42"/>
      <c r="N404" s="45">
        <v>2000</v>
      </c>
      <c r="O404" s="42"/>
      <c r="P404" s="45">
        <v>0</v>
      </c>
      <c r="Q404" s="42"/>
      <c r="R404" s="45">
        <v>0</v>
      </c>
    </row>
    <row r="405" spans="1:18" x14ac:dyDescent="0.2">
      <c r="A405" s="42"/>
      <c r="B405" s="42"/>
      <c r="C405" s="42" t="s">
        <v>179</v>
      </c>
      <c r="D405" s="42"/>
      <c r="E405" s="42"/>
      <c r="F405" s="45">
        <v>2161000</v>
      </c>
      <c r="G405" s="42"/>
      <c r="H405" s="45">
        <v>2082000</v>
      </c>
      <c r="I405" s="42"/>
      <c r="J405" s="45">
        <v>20000</v>
      </c>
      <c r="K405" s="42"/>
      <c r="L405" s="45">
        <v>59000</v>
      </c>
      <c r="M405" s="42"/>
      <c r="N405" s="45">
        <v>1251000</v>
      </c>
      <c r="O405" s="42"/>
      <c r="P405" s="45">
        <v>910000</v>
      </c>
      <c r="Q405" s="42"/>
      <c r="R405" s="45">
        <v>0</v>
      </c>
    </row>
    <row r="406" spans="1:18" x14ac:dyDescent="0.2">
      <c r="A406" s="42"/>
      <c r="B406" s="42"/>
      <c r="C406" s="42" t="s">
        <v>180</v>
      </c>
      <c r="D406" s="42"/>
      <c r="E406" s="42"/>
      <c r="F406" s="45">
        <v>0</v>
      </c>
      <c r="G406" s="42"/>
      <c r="H406" s="45">
        <v>0</v>
      </c>
      <c r="I406" s="42"/>
      <c r="J406" s="45">
        <v>0</v>
      </c>
      <c r="K406" s="42"/>
      <c r="L406" s="45">
        <v>0</v>
      </c>
      <c r="M406" s="42"/>
      <c r="N406" s="45">
        <v>0</v>
      </c>
      <c r="O406" s="42"/>
      <c r="P406" s="45">
        <v>0</v>
      </c>
      <c r="Q406" s="42"/>
      <c r="R406" s="45">
        <v>0</v>
      </c>
    </row>
    <row r="407" spans="1:18" x14ac:dyDescent="0.2">
      <c r="A407" s="42"/>
      <c r="B407" s="42"/>
      <c r="C407" s="42" t="s">
        <v>21</v>
      </c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</row>
    <row r="408" spans="1:18" x14ac:dyDescent="0.2">
      <c r="A408" s="42"/>
      <c r="B408" s="42"/>
      <c r="C408" s="42"/>
      <c r="D408" s="42"/>
      <c r="E408" s="42" t="s">
        <v>23</v>
      </c>
      <c r="F408" s="43">
        <v>583000</v>
      </c>
      <c r="G408" s="42"/>
      <c r="H408" s="43">
        <v>583000</v>
      </c>
      <c r="I408" s="42"/>
      <c r="J408" s="43">
        <v>0</v>
      </c>
      <c r="K408" s="42"/>
      <c r="L408" s="43">
        <v>0</v>
      </c>
      <c r="M408" s="42"/>
      <c r="N408" s="43">
        <v>416000</v>
      </c>
      <c r="O408" s="42"/>
      <c r="P408" s="43">
        <v>167000</v>
      </c>
      <c r="Q408" s="42"/>
      <c r="R408" s="43">
        <v>0</v>
      </c>
    </row>
    <row r="409" spans="1:18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</row>
    <row r="410" spans="1:18" x14ac:dyDescent="0.2">
      <c r="A410" s="42"/>
      <c r="B410" s="42"/>
      <c r="C410" s="42"/>
      <c r="D410" s="42"/>
      <c r="E410" s="42" t="s">
        <v>3</v>
      </c>
      <c r="F410" s="43">
        <v>18158000</v>
      </c>
      <c r="G410" s="42"/>
      <c r="H410" s="43">
        <v>15434000</v>
      </c>
      <c r="I410" s="42"/>
      <c r="J410" s="43">
        <v>1193000</v>
      </c>
      <c r="K410" s="42"/>
      <c r="L410" s="43">
        <v>1531000</v>
      </c>
      <c r="M410" s="42"/>
      <c r="N410" s="43">
        <v>11190000</v>
      </c>
      <c r="O410" s="42"/>
      <c r="P410" s="43">
        <v>7071000</v>
      </c>
      <c r="Q410" s="42"/>
      <c r="R410" s="43">
        <v>103000</v>
      </c>
    </row>
    <row r="411" spans="1:18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</row>
    <row r="412" spans="1:18" x14ac:dyDescent="0.2">
      <c r="A412" s="42"/>
      <c r="B412" s="42" t="s">
        <v>24</v>
      </c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</row>
    <row r="413" spans="1:18" x14ac:dyDescent="0.2">
      <c r="A413" s="42"/>
      <c r="B413" s="42"/>
      <c r="C413" s="42" t="s">
        <v>14</v>
      </c>
      <c r="D413" s="42"/>
      <c r="E413" s="42"/>
      <c r="F413" s="45">
        <v>0</v>
      </c>
      <c r="G413" s="42"/>
      <c r="H413" s="45">
        <v>0</v>
      </c>
      <c r="I413" s="42"/>
      <c r="J413" s="45">
        <v>0</v>
      </c>
      <c r="K413" s="42"/>
      <c r="L413" s="45">
        <v>0</v>
      </c>
      <c r="M413" s="42"/>
      <c r="N413" s="45">
        <v>0</v>
      </c>
      <c r="O413" s="42"/>
      <c r="P413" s="45">
        <v>0</v>
      </c>
      <c r="Q413" s="42"/>
      <c r="R413" s="45">
        <v>0</v>
      </c>
    </row>
    <row r="414" spans="1:18" x14ac:dyDescent="0.2">
      <c r="A414" s="42"/>
      <c r="B414" s="42"/>
      <c r="C414" s="42" t="s">
        <v>39</v>
      </c>
      <c r="D414" s="42"/>
      <c r="E414" s="42"/>
      <c r="F414" s="45">
        <v>2413000</v>
      </c>
      <c r="G414" s="42"/>
      <c r="H414" s="45">
        <v>2328000</v>
      </c>
      <c r="I414" s="42"/>
      <c r="J414" s="45">
        <v>15000</v>
      </c>
      <c r="K414" s="42"/>
      <c r="L414" s="45">
        <v>70000</v>
      </c>
      <c r="M414" s="42"/>
      <c r="N414" s="45">
        <v>1537000</v>
      </c>
      <c r="O414" s="42"/>
      <c r="P414" s="45">
        <v>876000</v>
      </c>
      <c r="Q414" s="42"/>
      <c r="R414" s="45">
        <v>0</v>
      </c>
    </row>
    <row r="415" spans="1:18" x14ac:dyDescent="0.2">
      <c r="A415" s="42"/>
      <c r="B415" s="42"/>
      <c r="C415" s="42" t="s">
        <v>175</v>
      </c>
      <c r="D415" s="42"/>
      <c r="E415" s="42"/>
      <c r="F415" s="45"/>
      <c r="G415" s="42"/>
      <c r="H415" s="45"/>
      <c r="I415" s="42"/>
      <c r="J415" s="45"/>
      <c r="K415" s="42"/>
      <c r="L415" s="45"/>
      <c r="M415" s="42"/>
      <c r="N415" s="45"/>
      <c r="O415" s="42"/>
      <c r="P415" s="45"/>
      <c r="Q415" s="42"/>
      <c r="R415" s="45"/>
    </row>
    <row r="416" spans="1:18" x14ac:dyDescent="0.2">
      <c r="A416" s="42"/>
      <c r="B416" s="42"/>
      <c r="C416" s="42"/>
      <c r="D416" s="42"/>
      <c r="E416" s="42" t="s">
        <v>176</v>
      </c>
      <c r="F416" s="45">
        <v>85000</v>
      </c>
      <c r="G416" s="42"/>
      <c r="H416" s="45">
        <v>84000</v>
      </c>
      <c r="I416" s="42"/>
      <c r="J416" s="45">
        <v>0</v>
      </c>
      <c r="K416" s="42"/>
      <c r="L416" s="45">
        <v>1000</v>
      </c>
      <c r="M416" s="42"/>
      <c r="N416" s="45">
        <v>20000</v>
      </c>
      <c r="O416" s="42"/>
      <c r="P416" s="45">
        <v>65000</v>
      </c>
      <c r="Q416" s="42"/>
      <c r="R416" s="45">
        <v>0</v>
      </c>
    </row>
    <row r="417" spans="1:18" x14ac:dyDescent="0.2">
      <c r="A417" s="42"/>
      <c r="B417" s="42"/>
      <c r="C417" s="42" t="s">
        <v>181</v>
      </c>
      <c r="D417" s="42"/>
      <c r="E417" s="42"/>
      <c r="F417" s="45">
        <v>-2000</v>
      </c>
      <c r="G417" s="42"/>
      <c r="H417" s="45">
        <v>0</v>
      </c>
      <c r="I417" s="42"/>
      <c r="J417" s="45">
        <v>0</v>
      </c>
      <c r="K417" s="42"/>
      <c r="L417" s="45">
        <v>-2000</v>
      </c>
      <c r="M417" s="42"/>
      <c r="N417" s="45">
        <v>0</v>
      </c>
      <c r="O417" s="42"/>
      <c r="P417" s="45">
        <v>-2000</v>
      </c>
      <c r="Q417" s="42"/>
      <c r="R417" s="45">
        <v>0</v>
      </c>
    </row>
    <row r="418" spans="1:18" x14ac:dyDescent="0.2">
      <c r="A418" s="42"/>
      <c r="B418" s="42"/>
      <c r="C418" s="42" t="s">
        <v>17</v>
      </c>
      <c r="D418" s="42"/>
      <c r="E418" s="42"/>
      <c r="F418" s="45">
        <v>12000</v>
      </c>
      <c r="G418" s="42"/>
      <c r="H418" s="45">
        <v>0</v>
      </c>
      <c r="I418" s="42"/>
      <c r="J418" s="45">
        <v>0</v>
      </c>
      <c r="K418" s="42"/>
      <c r="L418" s="45">
        <v>12000</v>
      </c>
      <c r="M418" s="42"/>
      <c r="N418" s="45">
        <v>0</v>
      </c>
      <c r="O418" s="42"/>
      <c r="P418" s="45">
        <v>12000</v>
      </c>
      <c r="Q418" s="42"/>
      <c r="R418" s="45">
        <v>0</v>
      </c>
    </row>
    <row r="419" spans="1:18" x14ac:dyDescent="0.2">
      <c r="A419" s="42"/>
      <c r="B419" s="42"/>
      <c r="C419" s="42" t="s">
        <v>18</v>
      </c>
      <c r="D419" s="42"/>
      <c r="E419" s="42"/>
      <c r="F419" s="45">
        <v>0</v>
      </c>
      <c r="G419" s="42"/>
      <c r="H419" s="45">
        <v>0</v>
      </c>
      <c r="I419" s="42"/>
      <c r="J419" s="45">
        <v>0</v>
      </c>
      <c r="K419" s="42"/>
      <c r="L419" s="45">
        <v>0</v>
      </c>
      <c r="M419" s="42"/>
      <c r="N419" s="45">
        <v>0</v>
      </c>
      <c r="O419" s="42"/>
      <c r="P419" s="45">
        <v>0</v>
      </c>
      <c r="Q419" s="42"/>
      <c r="R419" s="45">
        <v>0</v>
      </c>
    </row>
    <row r="420" spans="1:18" x14ac:dyDescent="0.2">
      <c r="A420" s="42"/>
      <c r="B420" s="42"/>
      <c r="C420" s="42" t="s">
        <v>177</v>
      </c>
      <c r="D420" s="42"/>
      <c r="E420" s="42"/>
      <c r="F420" s="45">
        <v>1000</v>
      </c>
      <c r="G420" s="42"/>
      <c r="H420" s="45">
        <v>13000</v>
      </c>
      <c r="I420" s="42"/>
      <c r="J420" s="45">
        <v>-13000</v>
      </c>
      <c r="K420" s="42"/>
      <c r="L420" s="45">
        <v>1000</v>
      </c>
      <c r="M420" s="42"/>
      <c r="N420" s="45">
        <v>0</v>
      </c>
      <c r="O420" s="42"/>
      <c r="P420" s="45">
        <v>1000</v>
      </c>
      <c r="Q420" s="42"/>
      <c r="R420" s="45">
        <v>0</v>
      </c>
    </row>
    <row r="421" spans="1:18" x14ac:dyDescent="0.2">
      <c r="A421" s="42"/>
      <c r="B421" s="42"/>
      <c r="C421" s="42" t="s">
        <v>179</v>
      </c>
      <c r="D421" s="42"/>
      <c r="E421" s="42"/>
      <c r="F421" s="45">
        <v>1033000</v>
      </c>
      <c r="G421" s="42"/>
      <c r="H421" s="45">
        <v>1033000</v>
      </c>
      <c r="I421" s="42"/>
      <c r="J421" s="45">
        <v>-32000</v>
      </c>
      <c r="K421" s="42"/>
      <c r="L421" s="45">
        <v>32000</v>
      </c>
      <c r="M421" s="42"/>
      <c r="N421" s="45">
        <v>599000</v>
      </c>
      <c r="O421" s="42"/>
      <c r="P421" s="45">
        <v>434000</v>
      </c>
      <c r="Q421" s="42"/>
      <c r="R421" s="45">
        <v>0</v>
      </c>
    </row>
    <row r="422" spans="1:18" x14ac:dyDescent="0.2">
      <c r="A422" s="42"/>
      <c r="B422" s="42"/>
      <c r="C422" s="42" t="s">
        <v>180</v>
      </c>
      <c r="D422" s="42"/>
      <c r="E422" s="42"/>
      <c r="F422" s="43">
        <v>2270000</v>
      </c>
      <c r="G422" s="42"/>
      <c r="H422" s="43">
        <v>0</v>
      </c>
      <c r="I422" s="42"/>
      <c r="J422" s="43">
        <v>8000</v>
      </c>
      <c r="K422" s="42"/>
      <c r="L422" s="43">
        <v>2262000</v>
      </c>
      <c r="M422" s="42"/>
      <c r="N422" s="43">
        <v>1380000</v>
      </c>
      <c r="O422" s="42"/>
      <c r="P422" s="43">
        <v>890000</v>
      </c>
      <c r="Q422" s="42"/>
      <c r="R422" s="43">
        <v>0</v>
      </c>
    </row>
    <row r="423" spans="1:18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</row>
    <row r="424" spans="1:18" x14ac:dyDescent="0.2">
      <c r="A424" s="42"/>
      <c r="B424" s="42"/>
      <c r="C424" s="42"/>
      <c r="D424" s="42"/>
      <c r="E424" s="42" t="s">
        <v>3</v>
      </c>
      <c r="F424" s="43">
        <v>5812000</v>
      </c>
      <c r="G424" s="42"/>
      <c r="H424" s="43">
        <v>3458000</v>
      </c>
      <c r="I424" s="42"/>
      <c r="J424" s="43">
        <v>-22000</v>
      </c>
      <c r="K424" s="42"/>
      <c r="L424" s="43">
        <v>2376000</v>
      </c>
      <c r="M424" s="42"/>
      <c r="N424" s="43">
        <v>3536000</v>
      </c>
      <c r="O424" s="42"/>
      <c r="P424" s="43">
        <v>2276000</v>
      </c>
      <c r="Q424" s="42"/>
      <c r="R424" s="43">
        <v>0</v>
      </c>
    </row>
    <row r="425" spans="1:18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</row>
    <row r="426" spans="1:18" x14ac:dyDescent="0.2">
      <c r="A426" s="42"/>
      <c r="B426" s="42" t="s">
        <v>28</v>
      </c>
      <c r="C426" s="42"/>
      <c r="D426" s="42"/>
      <c r="E426" s="42"/>
      <c r="F426" s="43">
        <v>67000</v>
      </c>
      <c r="G426" s="42"/>
      <c r="H426" s="43">
        <v>0</v>
      </c>
      <c r="I426" s="42"/>
      <c r="J426" s="43">
        <v>6000</v>
      </c>
      <c r="K426" s="42"/>
      <c r="L426" s="43">
        <v>61000</v>
      </c>
      <c r="M426" s="42"/>
      <c r="N426" s="43">
        <v>36000</v>
      </c>
      <c r="O426" s="42"/>
      <c r="P426" s="43">
        <v>31000</v>
      </c>
      <c r="Q426" s="42"/>
      <c r="R426" s="43">
        <v>0</v>
      </c>
    </row>
    <row r="427" spans="1:18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</row>
    <row r="428" spans="1:18" x14ac:dyDescent="0.2">
      <c r="A428" s="42"/>
      <c r="B428" s="42" t="s">
        <v>29</v>
      </c>
      <c r="C428" s="42"/>
      <c r="D428" s="42"/>
      <c r="E428" s="42"/>
      <c r="F428" s="43">
        <v>25000</v>
      </c>
      <c r="G428" s="42"/>
      <c r="H428" s="43">
        <v>0</v>
      </c>
      <c r="I428" s="42"/>
      <c r="J428" s="43">
        <v>0</v>
      </c>
      <c r="K428" s="42"/>
      <c r="L428" s="43">
        <v>25000</v>
      </c>
      <c r="M428" s="42"/>
      <c r="N428" s="43">
        <v>0</v>
      </c>
      <c r="O428" s="42"/>
      <c r="P428" s="43">
        <v>25000</v>
      </c>
      <c r="Q428" s="42"/>
      <c r="R428" s="43">
        <v>0</v>
      </c>
    </row>
    <row r="429" spans="1:18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</row>
    <row r="430" spans="1:18" x14ac:dyDescent="0.2">
      <c r="A430" s="42"/>
      <c r="B430" s="42"/>
      <c r="C430" s="42"/>
      <c r="D430" s="42"/>
      <c r="E430" s="42" t="s">
        <v>182</v>
      </c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</row>
    <row r="431" spans="1:18" x14ac:dyDescent="0.2">
      <c r="A431" s="42"/>
      <c r="B431" s="42"/>
      <c r="C431" s="42"/>
      <c r="D431" s="42"/>
      <c r="E431" s="42" t="s">
        <v>183</v>
      </c>
      <c r="F431" s="43">
        <v>24062000</v>
      </c>
      <c r="G431" s="42"/>
      <c r="H431" s="43">
        <v>18892000</v>
      </c>
      <c r="I431" s="42"/>
      <c r="J431" s="43">
        <v>1177000</v>
      </c>
      <c r="K431" s="42"/>
      <c r="L431" s="43">
        <v>3993000</v>
      </c>
      <c r="M431" s="42"/>
      <c r="N431" s="43">
        <v>14762000</v>
      </c>
      <c r="O431" s="42"/>
      <c r="P431" s="43">
        <v>9403000</v>
      </c>
      <c r="Q431" s="42"/>
      <c r="R431" s="43">
        <v>103000</v>
      </c>
    </row>
    <row r="432" spans="1:18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</row>
    <row r="433" spans="1:18" x14ac:dyDescent="0.2">
      <c r="A433" s="44" t="s">
        <v>184</v>
      </c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</row>
    <row r="434" spans="1:18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</row>
    <row r="435" spans="1:18" x14ac:dyDescent="0.2">
      <c r="A435" s="42"/>
      <c r="B435" s="42" t="s">
        <v>13</v>
      </c>
      <c r="C435" s="42"/>
      <c r="D435" s="42"/>
      <c r="E435" s="42"/>
      <c r="F435" s="43">
        <v>10068000</v>
      </c>
      <c r="G435" s="42"/>
      <c r="H435" s="43">
        <v>5777000</v>
      </c>
      <c r="I435" s="42"/>
      <c r="J435" s="43">
        <v>3524000</v>
      </c>
      <c r="K435" s="42"/>
      <c r="L435" s="43">
        <v>767000</v>
      </c>
      <c r="M435" s="42"/>
      <c r="N435" s="43">
        <v>6235000</v>
      </c>
      <c r="O435" s="42"/>
      <c r="P435" s="43">
        <v>3833000</v>
      </c>
      <c r="Q435" s="42"/>
      <c r="R435" s="43">
        <v>0</v>
      </c>
    </row>
    <row r="436" spans="1:18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</row>
    <row r="437" spans="1:18" x14ac:dyDescent="0.2">
      <c r="A437" s="42"/>
      <c r="B437" s="42" t="s">
        <v>24</v>
      </c>
      <c r="C437" s="42"/>
      <c r="D437" s="42"/>
      <c r="E437" s="42"/>
      <c r="F437" s="43">
        <v>7657000</v>
      </c>
      <c r="G437" s="42"/>
      <c r="H437" s="43">
        <v>350000</v>
      </c>
      <c r="I437" s="42"/>
      <c r="J437" s="43">
        <v>357000</v>
      </c>
      <c r="K437" s="42"/>
      <c r="L437" s="43">
        <v>6950000</v>
      </c>
      <c r="M437" s="42"/>
      <c r="N437" s="43">
        <v>4094000</v>
      </c>
      <c r="O437" s="42"/>
      <c r="P437" s="43">
        <v>4211000</v>
      </c>
      <c r="Q437" s="42"/>
      <c r="R437" s="43">
        <v>648000</v>
      </c>
    </row>
    <row r="438" spans="1:18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</row>
    <row r="439" spans="1:18" x14ac:dyDescent="0.2">
      <c r="A439" s="42"/>
      <c r="B439" s="42" t="s">
        <v>28</v>
      </c>
      <c r="C439" s="42"/>
      <c r="D439" s="42"/>
      <c r="E439" s="42"/>
      <c r="F439" s="43">
        <v>0</v>
      </c>
      <c r="G439" s="42"/>
      <c r="H439" s="43">
        <v>0</v>
      </c>
      <c r="I439" s="42"/>
      <c r="J439" s="43">
        <v>0</v>
      </c>
      <c r="K439" s="42"/>
      <c r="L439" s="43">
        <v>0</v>
      </c>
      <c r="M439" s="42"/>
      <c r="N439" s="43">
        <v>0</v>
      </c>
      <c r="O439" s="42"/>
      <c r="P439" s="43">
        <v>0</v>
      </c>
      <c r="Q439" s="42"/>
      <c r="R439" s="43">
        <v>0</v>
      </c>
    </row>
    <row r="440" spans="1:18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</row>
    <row r="441" spans="1:18" x14ac:dyDescent="0.2">
      <c r="A441" s="42"/>
      <c r="B441" s="42" t="s">
        <v>29</v>
      </c>
      <c r="C441" s="42"/>
      <c r="D441" s="42"/>
      <c r="E441" s="42"/>
      <c r="F441" s="43">
        <v>13247000</v>
      </c>
      <c r="G441" s="42"/>
      <c r="H441" s="43">
        <v>228000</v>
      </c>
      <c r="I441" s="42"/>
      <c r="J441" s="43">
        <v>13008000</v>
      </c>
      <c r="K441" s="42"/>
      <c r="L441" s="43">
        <v>11000</v>
      </c>
      <c r="M441" s="42"/>
      <c r="N441" s="43">
        <v>5352000</v>
      </c>
      <c r="O441" s="42"/>
      <c r="P441" s="43">
        <v>7895000</v>
      </c>
      <c r="Q441" s="42"/>
      <c r="R441" s="43">
        <v>0</v>
      </c>
    </row>
    <row r="442" spans="1:18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</row>
    <row r="443" spans="1:18" x14ac:dyDescent="0.2">
      <c r="A443" s="42"/>
      <c r="B443" s="42"/>
      <c r="C443" s="42"/>
      <c r="D443" s="42"/>
      <c r="E443" s="42" t="s">
        <v>185</v>
      </c>
      <c r="F443" s="43">
        <v>30972000</v>
      </c>
      <c r="G443" s="42"/>
      <c r="H443" s="43">
        <v>6355000</v>
      </c>
      <c r="I443" s="42"/>
      <c r="J443" s="43">
        <v>16889000</v>
      </c>
      <c r="K443" s="42"/>
      <c r="L443" s="43">
        <v>7728000</v>
      </c>
      <c r="M443" s="42"/>
      <c r="N443" s="43">
        <v>15681000</v>
      </c>
      <c r="O443" s="42"/>
      <c r="P443" s="43">
        <v>15939000</v>
      </c>
      <c r="Q443" s="42"/>
      <c r="R443" s="43">
        <v>648000</v>
      </c>
    </row>
    <row r="444" spans="1:18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</row>
    <row r="445" spans="1:18" x14ac:dyDescent="0.2">
      <c r="A445" s="44" t="s">
        <v>186</v>
      </c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</row>
    <row r="446" spans="1:18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</row>
    <row r="447" spans="1:18" x14ac:dyDescent="0.2">
      <c r="A447" s="42"/>
      <c r="B447" s="42" t="s">
        <v>13</v>
      </c>
      <c r="C447" s="42"/>
      <c r="D447" s="42"/>
      <c r="E447" s="42"/>
      <c r="F447" s="43">
        <v>25845000</v>
      </c>
      <c r="G447" s="42"/>
      <c r="H447" s="43">
        <v>15844000</v>
      </c>
      <c r="I447" s="42"/>
      <c r="J447" s="43">
        <v>7515000</v>
      </c>
      <c r="K447" s="42"/>
      <c r="L447" s="43">
        <v>2486000</v>
      </c>
      <c r="M447" s="42"/>
      <c r="N447" s="43">
        <v>17375000</v>
      </c>
      <c r="O447" s="42"/>
      <c r="P447" s="43">
        <v>8470000</v>
      </c>
      <c r="Q447" s="42"/>
      <c r="R447" s="43">
        <v>0</v>
      </c>
    </row>
    <row r="448" spans="1:18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</row>
    <row r="449" spans="1:18" x14ac:dyDescent="0.2">
      <c r="A449" s="42"/>
      <c r="B449" s="42" t="s">
        <v>24</v>
      </c>
      <c r="C449" s="42"/>
      <c r="D449" s="42"/>
      <c r="E449" s="42"/>
      <c r="F449" s="43">
        <v>45767000</v>
      </c>
      <c r="G449" s="42"/>
      <c r="H449" s="43">
        <v>1641000</v>
      </c>
      <c r="I449" s="42"/>
      <c r="J449" s="43">
        <v>1507000</v>
      </c>
      <c r="K449" s="42"/>
      <c r="L449" s="43">
        <v>42619000</v>
      </c>
      <c r="M449" s="42"/>
      <c r="N449" s="43">
        <v>18351000</v>
      </c>
      <c r="O449" s="42"/>
      <c r="P449" s="43">
        <v>27416000</v>
      </c>
      <c r="Q449" s="42"/>
      <c r="R449" s="43">
        <v>0</v>
      </c>
    </row>
    <row r="450" spans="1:18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</row>
    <row r="451" spans="1:18" x14ac:dyDescent="0.2">
      <c r="A451" s="42"/>
      <c r="B451" s="42" t="s">
        <v>28</v>
      </c>
      <c r="C451" s="42"/>
      <c r="D451" s="42"/>
      <c r="E451" s="42"/>
      <c r="F451" s="43">
        <v>917000</v>
      </c>
      <c r="G451" s="42"/>
      <c r="H451" s="43">
        <v>34000</v>
      </c>
      <c r="I451" s="42"/>
      <c r="J451" s="43">
        <v>36000</v>
      </c>
      <c r="K451" s="42"/>
      <c r="L451" s="43">
        <v>847000</v>
      </c>
      <c r="M451" s="42"/>
      <c r="N451" s="43">
        <v>429000</v>
      </c>
      <c r="O451" s="42"/>
      <c r="P451" s="43">
        <v>488000</v>
      </c>
      <c r="Q451" s="42"/>
      <c r="R451" s="43">
        <v>0</v>
      </c>
    </row>
    <row r="452" spans="1:18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</row>
    <row r="453" spans="1:18" x14ac:dyDescent="0.2">
      <c r="A453" s="42"/>
      <c r="B453" s="42" t="s">
        <v>29</v>
      </c>
      <c r="C453" s="42"/>
      <c r="D453" s="42"/>
      <c r="E453" s="42"/>
      <c r="F453" s="43">
        <v>628000</v>
      </c>
      <c r="G453" s="42"/>
      <c r="H453" s="43">
        <v>606000</v>
      </c>
      <c r="I453" s="42"/>
      <c r="J453" s="43">
        <v>-3000</v>
      </c>
      <c r="K453" s="42"/>
      <c r="L453" s="43">
        <v>25000</v>
      </c>
      <c r="M453" s="42"/>
      <c r="N453" s="43">
        <v>432000</v>
      </c>
      <c r="O453" s="42"/>
      <c r="P453" s="43">
        <v>196000</v>
      </c>
      <c r="Q453" s="42"/>
      <c r="R453" s="43">
        <v>0</v>
      </c>
    </row>
    <row r="454" spans="1:18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</row>
    <row r="455" spans="1:18" x14ac:dyDescent="0.2">
      <c r="A455" s="42"/>
      <c r="B455" s="42"/>
      <c r="C455" s="42"/>
      <c r="D455" s="42"/>
      <c r="E455" s="42" t="s">
        <v>187</v>
      </c>
      <c r="F455" s="43">
        <v>73157000</v>
      </c>
      <c r="G455" s="42"/>
      <c r="H455" s="43">
        <v>18125000</v>
      </c>
      <c r="I455" s="42"/>
      <c r="J455" s="43">
        <v>9055000</v>
      </c>
      <c r="K455" s="42"/>
      <c r="L455" s="43">
        <v>45977000</v>
      </c>
      <c r="M455" s="42"/>
      <c r="N455" s="43">
        <v>36587000</v>
      </c>
      <c r="O455" s="42"/>
      <c r="P455" s="43">
        <v>36570000</v>
      </c>
      <c r="Q455" s="42"/>
      <c r="R455" s="43">
        <v>0</v>
      </c>
    </row>
    <row r="456" spans="1:18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</row>
    <row r="457" spans="1:18" x14ac:dyDescent="0.2">
      <c r="A457" s="44" t="s">
        <v>188</v>
      </c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</row>
    <row r="458" spans="1:18" x14ac:dyDescent="0.2">
      <c r="A458" s="42"/>
      <c r="B458" s="44" t="s">
        <v>189</v>
      </c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</row>
    <row r="459" spans="1:18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</row>
    <row r="460" spans="1:18" x14ac:dyDescent="0.2">
      <c r="A460" s="42"/>
      <c r="B460" s="42" t="s">
        <v>13</v>
      </c>
      <c r="C460" s="42"/>
      <c r="D460" s="42"/>
      <c r="E460" s="42"/>
      <c r="F460" s="43">
        <v>10994000</v>
      </c>
      <c r="G460" s="42"/>
      <c r="H460" s="43">
        <v>5487000</v>
      </c>
      <c r="I460" s="42"/>
      <c r="J460" s="43">
        <v>3740000</v>
      </c>
      <c r="K460" s="42"/>
      <c r="L460" s="43">
        <v>1767000</v>
      </c>
      <c r="M460" s="42"/>
      <c r="N460" s="43">
        <v>6454000</v>
      </c>
      <c r="O460" s="42"/>
      <c r="P460" s="43">
        <v>4540000</v>
      </c>
      <c r="Q460" s="42"/>
      <c r="R460" s="43">
        <v>0</v>
      </c>
    </row>
    <row r="461" spans="1:18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</row>
    <row r="462" spans="1:18" x14ac:dyDescent="0.2">
      <c r="A462" s="42"/>
      <c r="B462" s="42" t="s">
        <v>24</v>
      </c>
      <c r="C462" s="42"/>
      <c r="D462" s="42"/>
      <c r="E462" s="42"/>
      <c r="F462" s="43">
        <v>1710000</v>
      </c>
      <c r="G462" s="42"/>
      <c r="H462" s="43">
        <v>3000</v>
      </c>
      <c r="I462" s="42"/>
      <c r="J462" s="43">
        <v>257000</v>
      </c>
      <c r="K462" s="42"/>
      <c r="L462" s="43">
        <v>1450000</v>
      </c>
      <c r="M462" s="42"/>
      <c r="N462" s="43">
        <v>1170000</v>
      </c>
      <c r="O462" s="42"/>
      <c r="P462" s="43">
        <v>540000</v>
      </c>
      <c r="Q462" s="42"/>
      <c r="R462" s="43">
        <v>0</v>
      </c>
    </row>
    <row r="463" spans="1:18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</row>
    <row r="464" spans="1:18" x14ac:dyDescent="0.2">
      <c r="A464" s="42"/>
      <c r="B464" s="42" t="s">
        <v>28</v>
      </c>
      <c r="C464" s="42"/>
      <c r="D464" s="42"/>
      <c r="E464" s="42"/>
      <c r="F464" s="43">
        <v>519000</v>
      </c>
      <c r="G464" s="42"/>
      <c r="H464" s="43">
        <v>225000</v>
      </c>
      <c r="I464" s="42"/>
      <c r="J464" s="43">
        <v>79000</v>
      </c>
      <c r="K464" s="42"/>
      <c r="L464" s="43">
        <v>215000</v>
      </c>
      <c r="M464" s="42"/>
      <c r="N464" s="43">
        <v>239000</v>
      </c>
      <c r="O464" s="42"/>
      <c r="P464" s="43">
        <v>280000</v>
      </c>
      <c r="Q464" s="42"/>
      <c r="R464" s="43">
        <v>0</v>
      </c>
    </row>
    <row r="465" spans="1:18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</row>
    <row r="466" spans="1:18" x14ac:dyDescent="0.2">
      <c r="A466" s="42"/>
      <c r="B466" s="42" t="s">
        <v>29</v>
      </c>
      <c r="C466" s="42"/>
      <c r="D466" s="42"/>
      <c r="E466" s="42"/>
      <c r="F466" s="43">
        <v>2000</v>
      </c>
      <c r="G466" s="42"/>
      <c r="H466" s="43">
        <v>0</v>
      </c>
      <c r="I466" s="42"/>
      <c r="J466" s="43">
        <v>0</v>
      </c>
      <c r="K466" s="42"/>
      <c r="L466" s="43">
        <v>2000</v>
      </c>
      <c r="M466" s="42"/>
      <c r="N466" s="43">
        <v>0</v>
      </c>
      <c r="O466" s="42"/>
      <c r="P466" s="43">
        <v>2000</v>
      </c>
      <c r="Q466" s="42"/>
      <c r="R466" s="43">
        <v>0</v>
      </c>
    </row>
    <row r="467" spans="1:18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</row>
    <row r="468" spans="1:18" x14ac:dyDescent="0.2">
      <c r="A468" s="42"/>
      <c r="B468" s="42"/>
      <c r="C468" s="42"/>
      <c r="D468" s="42"/>
      <c r="E468" s="42" t="s">
        <v>190</v>
      </c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</row>
    <row r="469" spans="1:18" x14ac:dyDescent="0.2">
      <c r="A469" s="42"/>
      <c r="B469" s="42"/>
      <c r="C469" s="42"/>
      <c r="D469" s="42"/>
      <c r="E469" s="42" t="s">
        <v>191</v>
      </c>
      <c r="F469" s="43">
        <v>13225000</v>
      </c>
      <c r="G469" s="42"/>
      <c r="H469" s="43">
        <v>5715000</v>
      </c>
      <c r="I469" s="42"/>
      <c r="J469" s="43">
        <v>4076000</v>
      </c>
      <c r="K469" s="42"/>
      <c r="L469" s="43">
        <v>3434000</v>
      </c>
      <c r="M469" s="42"/>
      <c r="N469" s="43">
        <v>7863000</v>
      </c>
      <c r="O469" s="42"/>
      <c r="P469" s="43">
        <v>5362000</v>
      </c>
      <c r="Q469" s="42"/>
      <c r="R469" s="43">
        <v>0</v>
      </c>
    </row>
    <row r="470" spans="1:18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</row>
    <row r="471" spans="1:18" x14ac:dyDescent="0.2">
      <c r="A471" s="44" t="s">
        <v>192</v>
      </c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</row>
    <row r="472" spans="1:18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</row>
    <row r="473" spans="1:18" x14ac:dyDescent="0.2">
      <c r="A473" s="42"/>
      <c r="B473" s="42" t="s">
        <v>13</v>
      </c>
      <c r="C473" s="42"/>
      <c r="D473" s="42"/>
      <c r="E473" s="42"/>
      <c r="F473" s="43">
        <v>39995000</v>
      </c>
      <c r="G473" s="42"/>
      <c r="H473" s="43">
        <v>5362000</v>
      </c>
      <c r="I473" s="42"/>
      <c r="J473" s="43">
        <v>1093000</v>
      </c>
      <c r="K473" s="42"/>
      <c r="L473" s="43">
        <v>33540000</v>
      </c>
      <c r="M473" s="42"/>
      <c r="N473" s="43">
        <v>7276000</v>
      </c>
      <c r="O473" s="42"/>
      <c r="P473" s="43">
        <v>32719000</v>
      </c>
      <c r="Q473" s="42"/>
      <c r="R473" s="43">
        <v>0</v>
      </c>
    </row>
    <row r="474" spans="1:18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</row>
    <row r="475" spans="1:18" x14ac:dyDescent="0.2">
      <c r="A475" s="42"/>
      <c r="B475" s="42" t="s">
        <v>24</v>
      </c>
      <c r="C475" s="42"/>
      <c r="D475" s="42"/>
      <c r="E475" s="42"/>
      <c r="F475" s="43">
        <v>2204000</v>
      </c>
      <c r="G475" s="42"/>
      <c r="H475" s="43">
        <v>0</v>
      </c>
      <c r="I475" s="42"/>
      <c r="J475" s="43">
        <v>76000</v>
      </c>
      <c r="K475" s="42"/>
      <c r="L475" s="43">
        <v>2128000</v>
      </c>
      <c r="M475" s="42"/>
      <c r="N475" s="43">
        <v>1357000</v>
      </c>
      <c r="O475" s="42"/>
      <c r="P475" s="43">
        <v>847000</v>
      </c>
      <c r="Q475" s="42"/>
      <c r="R475" s="43">
        <v>0</v>
      </c>
    </row>
    <row r="476" spans="1:18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</row>
    <row r="477" spans="1:18" x14ac:dyDescent="0.2">
      <c r="A477" s="42"/>
      <c r="B477" s="42" t="s">
        <v>28</v>
      </c>
      <c r="C477" s="42"/>
      <c r="D477" s="42"/>
      <c r="E477" s="42"/>
      <c r="F477" s="43">
        <v>723000</v>
      </c>
      <c r="G477" s="42"/>
      <c r="H477" s="43">
        <v>0</v>
      </c>
      <c r="I477" s="42"/>
      <c r="J477" s="43">
        <v>366000</v>
      </c>
      <c r="K477" s="42"/>
      <c r="L477" s="43">
        <v>357000</v>
      </c>
      <c r="M477" s="42"/>
      <c r="N477" s="43">
        <v>410000</v>
      </c>
      <c r="O477" s="42"/>
      <c r="P477" s="43">
        <v>313000</v>
      </c>
      <c r="Q477" s="42"/>
      <c r="R477" s="43">
        <v>0</v>
      </c>
    </row>
    <row r="478" spans="1:18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</row>
    <row r="479" spans="1:18" x14ac:dyDescent="0.2">
      <c r="A479" s="42"/>
      <c r="B479" s="42" t="s">
        <v>29</v>
      </c>
      <c r="C479" s="42"/>
      <c r="D479" s="42"/>
      <c r="E479" s="42"/>
      <c r="F479" s="43">
        <v>93000</v>
      </c>
      <c r="G479" s="42"/>
      <c r="H479" s="43">
        <v>0</v>
      </c>
      <c r="I479" s="42"/>
      <c r="J479" s="43">
        <v>83000</v>
      </c>
      <c r="K479" s="42"/>
      <c r="L479" s="43">
        <v>10000</v>
      </c>
      <c r="M479" s="42"/>
      <c r="N479" s="43">
        <v>36000</v>
      </c>
      <c r="O479" s="42"/>
      <c r="P479" s="43">
        <v>57000</v>
      </c>
      <c r="Q479" s="42"/>
      <c r="R479" s="43">
        <v>0</v>
      </c>
    </row>
    <row r="480" spans="1:18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</row>
    <row r="481" spans="1:18" x14ac:dyDescent="0.2">
      <c r="A481" s="42"/>
      <c r="B481" s="42"/>
      <c r="C481" s="42"/>
      <c r="D481" s="42"/>
      <c r="E481" s="42" t="s">
        <v>193</v>
      </c>
      <c r="F481" s="43">
        <v>43015000</v>
      </c>
      <c r="G481" s="42"/>
      <c r="H481" s="43">
        <v>5362000</v>
      </c>
      <c r="I481" s="42"/>
      <c r="J481" s="43">
        <v>1618000</v>
      </c>
      <c r="K481" s="42"/>
      <c r="L481" s="43">
        <v>36035000</v>
      </c>
      <c r="M481" s="42"/>
      <c r="N481" s="43">
        <v>9079000</v>
      </c>
      <c r="O481" s="42"/>
      <c r="P481" s="43">
        <v>33936000</v>
      </c>
      <c r="Q481" s="42"/>
      <c r="R481" s="43">
        <v>0</v>
      </c>
    </row>
    <row r="482" spans="1:18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</row>
    <row r="483" spans="1:18" x14ac:dyDescent="0.2">
      <c r="A483" s="44" t="s">
        <v>194</v>
      </c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</row>
    <row r="484" spans="1:18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</row>
    <row r="485" spans="1:18" x14ac:dyDescent="0.2">
      <c r="A485" s="42"/>
      <c r="B485" s="42" t="s">
        <v>13</v>
      </c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</row>
    <row r="486" spans="1:18" x14ac:dyDescent="0.2">
      <c r="A486" s="42"/>
      <c r="B486" s="42"/>
      <c r="C486" s="42" t="s">
        <v>195</v>
      </c>
      <c r="D486" s="42"/>
      <c r="E486" s="42"/>
      <c r="F486" s="45">
        <v>497000</v>
      </c>
      <c r="G486" s="42"/>
      <c r="H486" s="45">
        <v>38000</v>
      </c>
      <c r="I486" s="42"/>
      <c r="J486" s="45">
        <v>3000</v>
      </c>
      <c r="K486" s="42"/>
      <c r="L486" s="45">
        <v>456000</v>
      </c>
      <c r="M486" s="42"/>
      <c r="N486" s="45">
        <v>154000</v>
      </c>
      <c r="O486" s="42"/>
      <c r="P486" s="45">
        <v>343000</v>
      </c>
      <c r="Q486" s="42"/>
      <c r="R486" s="45">
        <v>0</v>
      </c>
    </row>
    <row r="487" spans="1:18" x14ac:dyDescent="0.2">
      <c r="A487" s="42"/>
      <c r="B487" s="42"/>
      <c r="C487" s="42" t="s">
        <v>196</v>
      </c>
      <c r="D487" s="42"/>
      <c r="E487" s="42"/>
      <c r="F487" s="45">
        <v>27000</v>
      </c>
      <c r="G487" s="42"/>
      <c r="H487" s="45">
        <v>-1000</v>
      </c>
      <c r="I487" s="42"/>
      <c r="J487" s="45">
        <v>0</v>
      </c>
      <c r="K487" s="42"/>
      <c r="L487" s="45">
        <v>28000</v>
      </c>
      <c r="M487" s="42"/>
      <c r="N487" s="45">
        <v>0</v>
      </c>
      <c r="O487" s="42"/>
      <c r="P487" s="45">
        <v>27000</v>
      </c>
      <c r="Q487" s="42"/>
      <c r="R487" s="45">
        <v>0</v>
      </c>
    </row>
    <row r="488" spans="1:18" x14ac:dyDescent="0.2">
      <c r="A488" s="42"/>
      <c r="B488" s="42"/>
      <c r="C488" s="42" t="s">
        <v>197</v>
      </c>
      <c r="D488" s="42"/>
      <c r="E488" s="42"/>
      <c r="F488" s="45">
        <v>0</v>
      </c>
      <c r="G488" s="42"/>
      <c r="H488" s="45">
        <v>0</v>
      </c>
      <c r="I488" s="42"/>
      <c r="J488" s="45">
        <v>0</v>
      </c>
      <c r="K488" s="42"/>
      <c r="L488" s="45">
        <v>0</v>
      </c>
      <c r="M488" s="42"/>
      <c r="N488" s="45">
        <v>0</v>
      </c>
      <c r="O488" s="42"/>
      <c r="P488" s="45">
        <v>0</v>
      </c>
      <c r="Q488" s="42"/>
      <c r="R488" s="45">
        <v>0</v>
      </c>
    </row>
    <row r="489" spans="1:18" x14ac:dyDescent="0.2">
      <c r="A489" s="42"/>
      <c r="B489" s="42"/>
      <c r="C489" s="42" t="s">
        <v>198</v>
      </c>
      <c r="D489" s="42"/>
      <c r="E489" s="42"/>
      <c r="F489" s="45">
        <v>2000</v>
      </c>
      <c r="G489" s="42"/>
      <c r="H489" s="45">
        <v>0</v>
      </c>
      <c r="I489" s="42"/>
      <c r="J489" s="45">
        <v>0</v>
      </c>
      <c r="K489" s="42"/>
      <c r="L489" s="45">
        <v>2000</v>
      </c>
      <c r="M489" s="42"/>
      <c r="N489" s="45">
        <v>0</v>
      </c>
      <c r="O489" s="42"/>
      <c r="P489" s="45">
        <v>2000</v>
      </c>
      <c r="Q489" s="42"/>
      <c r="R489" s="45">
        <v>0</v>
      </c>
    </row>
    <row r="490" spans="1:18" x14ac:dyDescent="0.2">
      <c r="A490" s="42"/>
      <c r="B490" s="42"/>
      <c r="C490" s="42" t="s">
        <v>199</v>
      </c>
      <c r="D490" s="42"/>
      <c r="E490" s="42"/>
      <c r="F490" s="45">
        <v>-1000</v>
      </c>
      <c r="G490" s="42"/>
      <c r="H490" s="45">
        <v>0</v>
      </c>
      <c r="I490" s="42"/>
      <c r="J490" s="45">
        <v>0</v>
      </c>
      <c r="K490" s="42"/>
      <c r="L490" s="45">
        <v>-1000</v>
      </c>
      <c r="M490" s="42"/>
      <c r="N490" s="45">
        <v>0</v>
      </c>
      <c r="O490" s="42"/>
      <c r="P490" s="45">
        <v>-1000</v>
      </c>
      <c r="Q490" s="42"/>
      <c r="R490" s="45">
        <v>0</v>
      </c>
    </row>
    <row r="491" spans="1:18" x14ac:dyDescent="0.2">
      <c r="A491" s="42"/>
      <c r="B491" s="42"/>
      <c r="C491" s="42" t="s">
        <v>200</v>
      </c>
      <c r="D491" s="42"/>
      <c r="E491" s="42"/>
      <c r="F491" s="45">
        <v>-41000</v>
      </c>
      <c r="G491" s="42"/>
      <c r="H491" s="45">
        <v>0</v>
      </c>
      <c r="I491" s="42"/>
      <c r="J491" s="45">
        <v>1000</v>
      </c>
      <c r="K491" s="42"/>
      <c r="L491" s="45">
        <v>-42000</v>
      </c>
      <c r="M491" s="42"/>
      <c r="N491" s="45">
        <v>9000</v>
      </c>
      <c r="O491" s="42"/>
      <c r="P491" s="45">
        <v>-50000</v>
      </c>
      <c r="Q491" s="42"/>
      <c r="R491" s="45">
        <v>0</v>
      </c>
    </row>
    <row r="492" spans="1:18" x14ac:dyDescent="0.2">
      <c r="A492" s="42"/>
      <c r="B492" s="42"/>
      <c r="C492" s="42" t="s">
        <v>115</v>
      </c>
      <c r="D492" s="42"/>
      <c r="E492" s="42"/>
      <c r="F492" s="45">
        <v>197000</v>
      </c>
      <c r="G492" s="42"/>
      <c r="H492" s="45">
        <v>1000</v>
      </c>
      <c r="I492" s="42"/>
      <c r="J492" s="45">
        <v>196000</v>
      </c>
      <c r="K492" s="42"/>
      <c r="L492" s="45">
        <v>0</v>
      </c>
      <c r="M492" s="42"/>
      <c r="N492" s="45">
        <v>135000</v>
      </c>
      <c r="O492" s="42"/>
      <c r="P492" s="45">
        <v>62000</v>
      </c>
      <c r="Q492" s="42"/>
      <c r="R492" s="45">
        <v>0</v>
      </c>
    </row>
    <row r="493" spans="1:18" x14ac:dyDescent="0.2">
      <c r="A493" s="42"/>
      <c r="B493" s="42"/>
      <c r="C493" s="42" t="s">
        <v>201</v>
      </c>
      <c r="D493" s="42"/>
      <c r="E493" s="42"/>
      <c r="F493" s="45">
        <v>6000</v>
      </c>
      <c r="G493" s="42"/>
      <c r="H493" s="45">
        <v>0</v>
      </c>
      <c r="I493" s="42"/>
      <c r="J493" s="45">
        <v>0</v>
      </c>
      <c r="K493" s="42"/>
      <c r="L493" s="45">
        <v>6000</v>
      </c>
      <c r="M493" s="42"/>
      <c r="N493" s="45">
        <v>0</v>
      </c>
      <c r="O493" s="42"/>
      <c r="P493" s="45">
        <v>6000</v>
      </c>
      <c r="Q493" s="42"/>
      <c r="R493" s="45">
        <v>0</v>
      </c>
    </row>
    <row r="494" spans="1:18" x14ac:dyDescent="0.2">
      <c r="A494" s="42"/>
      <c r="B494" s="42"/>
      <c r="C494" s="42" t="s">
        <v>202</v>
      </c>
      <c r="D494" s="42"/>
      <c r="E494" s="42"/>
      <c r="F494" s="45">
        <v>63000</v>
      </c>
      <c r="G494" s="42"/>
      <c r="H494" s="45">
        <v>0</v>
      </c>
      <c r="I494" s="42"/>
      <c r="J494" s="45">
        <v>0</v>
      </c>
      <c r="K494" s="42"/>
      <c r="L494" s="45">
        <v>63000</v>
      </c>
      <c r="M494" s="42"/>
      <c r="N494" s="45">
        <v>33000</v>
      </c>
      <c r="O494" s="42"/>
      <c r="P494" s="45">
        <v>30000</v>
      </c>
      <c r="Q494" s="42"/>
      <c r="R494" s="45">
        <v>0</v>
      </c>
    </row>
    <row r="495" spans="1:18" x14ac:dyDescent="0.2">
      <c r="A495" s="42"/>
      <c r="B495" s="42"/>
      <c r="C495" s="42" t="s">
        <v>203</v>
      </c>
      <c r="D495" s="42"/>
      <c r="E495" s="42"/>
      <c r="F495" s="43">
        <v>237000</v>
      </c>
      <c r="G495" s="42"/>
      <c r="H495" s="43">
        <v>0</v>
      </c>
      <c r="I495" s="42"/>
      <c r="J495" s="43">
        <v>0</v>
      </c>
      <c r="K495" s="42"/>
      <c r="L495" s="43">
        <v>237000</v>
      </c>
      <c r="M495" s="42"/>
      <c r="N495" s="43">
        <v>68000</v>
      </c>
      <c r="O495" s="42"/>
      <c r="P495" s="43">
        <v>169000</v>
      </c>
      <c r="Q495" s="42"/>
      <c r="R495" s="43">
        <v>0</v>
      </c>
    </row>
    <row r="496" spans="1:18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</row>
    <row r="497" spans="1:18" x14ac:dyDescent="0.2">
      <c r="A497" s="42"/>
      <c r="B497" s="42"/>
      <c r="C497" s="42"/>
      <c r="D497" s="42"/>
      <c r="E497" s="42" t="s">
        <v>3</v>
      </c>
      <c r="F497" s="43">
        <v>987000</v>
      </c>
      <c r="G497" s="42"/>
      <c r="H497" s="43">
        <v>38000</v>
      </c>
      <c r="I497" s="42"/>
      <c r="J497" s="43">
        <v>200000</v>
      </c>
      <c r="K497" s="42"/>
      <c r="L497" s="43">
        <v>749000</v>
      </c>
      <c r="M497" s="42"/>
      <c r="N497" s="43">
        <v>399000</v>
      </c>
      <c r="O497" s="42"/>
      <c r="P497" s="43">
        <v>588000</v>
      </c>
      <c r="Q497" s="42"/>
      <c r="R497" s="43">
        <v>0</v>
      </c>
    </row>
    <row r="498" spans="1:18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</row>
    <row r="499" spans="1:18" x14ac:dyDescent="0.2">
      <c r="A499" s="42"/>
      <c r="B499" s="42" t="s">
        <v>24</v>
      </c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</row>
    <row r="500" spans="1:18" x14ac:dyDescent="0.2">
      <c r="A500" s="42"/>
      <c r="B500" s="42"/>
      <c r="C500" s="42" t="s">
        <v>195</v>
      </c>
      <c r="D500" s="42"/>
      <c r="E500" s="42"/>
      <c r="F500" s="45">
        <v>144000</v>
      </c>
      <c r="G500" s="42"/>
      <c r="H500" s="45">
        <v>101000</v>
      </c>
      <c r="I500" s="42"/>
      <c r="J500" s="45">
        <v>17000</v>
      </c>
      <c r="K500" s="42"/>
      <c r="L500" s="45">
        <v>26000</v>
      </c>
      <c r="M500" s="42"/>
      <c r="N500" s="45">
        <v>87000</v>
      </c>
      <c r="O500" s="42"/>
      <c r="P500" s="45">
        <v>57000</v>
      </c>
      <c r="Q500" s="42"/>
      <c r="R500" s="45">
        <v>0</v>
      </c>
    </row>
    <row r="501" spans="1:18" x14ac:dyDescent="0.2">
      <c r="A501" s="42"/>
      <c r="B501" s="42"/>
      <c r="C501" s="42" t="s">
        <v>196</v>
      </c>
      <c r="D501" s="42"/>
      <c r="E501" s="42"/>
      <c r="F501" s="45">
        <v>527000</v>
      </c>
      <c r="G501" s="42"/>
      <c r="H501" s="45">
        <v>127000</v>
      </c>
      <c r="I501" s="42"/>
      <c r="J501" s="45">
        <v>2000</v>
      </c>
      <c r="K501" s="42"/>
      <c r="L501" s="45">
        <v>398000</v>
      </c>
      <c r="M501" s="42"/>
      <c r="N501" s="45">
        <v>313000</v>
      </c>
      <c r="O501" s="42"/>
      <c r="P501" s="45">
        <v>214000</v>
      </c>
      <c r="Q501" s="42"/>
      <c r="R501" s="45">
        <v>0</v>
      </c>
    </row>
    <row r="502" spans="1:18" x14ac:dyDescent="0.2">
      <c r="A502" s="42"/>
      <c r="B502" s="42"/>
      <c r="C502" s="42" t="s">
        <v>197</v>
      </c>
      <c r="D502" s="42"/>
      <c r="E502" s="42"/>
      <c r="F502" s="45">
        <v>185000</v>
      </c>
      <c r="G502" s="42"/>
      <c r="H502" s="45">
        <v>81000</v>
      </c>
      <c r="I502" s="42"/>
      <c r="J502" s="45">
        <v>16000</v>
      </c>
      <c r="K502" s="42"/>
      <c r="L502" s="45">
        <v>88000</v>
      </c>
      <c r="M502" s="42"/>
      <c r="N502" s="45">
        <v>110000</v>
      </c>
      <c r="O502" s="42"/>
      <c r="P502" s="45">
        <v>85000</v>
      </c>
      <c r="Q502" s="42"/>
      <c r="R502" s="45">
        <v>10000</v>
      </c>
    </row>
    <row r="503" spans="1:18" x14ac:dyDescent="0.2">
      <c r="A503" s="42"/>
      <c r="B503" s="42"/>
      <c r="C503" s="42" t="s">
        <v>198</v>
      </c>
      <c r="D503" s="42"/>
      <c r="E503" s="42"/>
      <c r="F503" s="45">
        <v>3330000</v>
      </c>
      <c r="G503" s="42"/>
      <c r="H503" s="45">
        <v>319000</v>
      </c>
      <c r="I503" s="42"/>
      <c r="J503" s="45">
        <v>546000</v>
      </c>
      <c r="K503" s="42"/>
      <c r="L503" s="45">
        <v>2465000</v>
      </c>
      <c r="M503" s="42"/>
      <c r="N503" s="45">
        <v>1509000</v>
      </c>
      <c r="O503" s="42"/>
      <c r="P503" s="45">
        <v>1939000</v>
      </c>
      <c r="Q503" s="42"/>
      <c r="R503" s="45">
        <v>118000</v>
      </c>
    </row>
    <row r="504" spans="1:18" x14ac:dyDescent="0.2">
      <c r="A504" s="42"/>
      <c r="B504" s="42"/>
      <c r="C504" s="42" t="s">
        <v>199</v>
      </c>
      <c r="D504" s="42"/>
      <c r="E504" s="42"/>
      <c r="F504" s="45">
        <v>645000</v>
      </c>
      <c r="G504" s="42"/>
      <c r="H504" s="45">
        <v>231000</v>
      </c>
      <c r="I504" s="42"/>
      <c r="J504" s="45">
        <v>77000</v>
      </c>
      <c r="K504" s="42"/>
      <c r="L504" s="45">
        <v>337000</v>
      </c>
      <c r="M504" s="42"/>
      <c r="N504" s="45">
        <v>312000</v>
      </c>
      <c r="O504" s="42"/>
      <c r="P504" s="45">
        <v>333000</v>
      </c>
      <c r="Q504" s="42"/>
      <c r="R504" s="45">
        <v>0</v>
      </c>
    </row>
    <row r="505" spans="1:18" x14ac:dyDescent="0.2">
      <c r="A505" s="42"/>
      <c r="B505" s="42"/>
      <c r="C505" s="42" t="s">
        <v>200</v>
      </c>
      <c r="D505" s="42"/>
      <c r="E505" s="42"/>
      <c r="F505" s="45">
        <v>2724000</v>
      </c>
      <c r="G505" s="42"/>
      <c r="H505" s="45">
        <v>321000</v>
      </c>
      <c r="I505" s="42"/>
      <c r="J505" s="45">
        <v>535000</v>
      </c>
      <c r="K505" s="42"/>
      <c r="L505" s="45">
        <v>1868000</v>
      </c>
      <c r="M505" s="42"/>
      <c r="N505" s="45">
        <v>1191000</v>
      </c>
      <c r="O505" s="42"/>
      <c r="P505" s="45">
        <v>1533000</v>
      </c>
      <c r="Q505" s="42"/>
      <c r="R505" s="45">
        <v>0</v>
      </c>
    </row>
    <row r="506" spans="1:18" x14ac:dyDescent="0.2">
      <c r="A506" s="42"/>
      <c r="B506" s="42"/>
      <c r="C506" s="42" t="s">
        <v>115</v>
      </c>
      <c r="D506" s="42"/>
      <c r="E506" s="42"/>
      <c r="F506" s="45">
        <v>138000</v>
      </c>
      <c r="G506" s="42"/>
      <c r="H506" s="45">
        <v>14000</v>
      </c>
      <c r="I506" s="42"/>
      <c r="J506" s="45">
        <v>44000</v>
      </c>
      <c r="K506" s="42"/>
      <c r="L506" s="45">
        <v>80000</v>
      </c>
      <c r="M506" s="42"/>
      <c r="N506" s="45">
        <v>32000</v>
      </c>
      <c r="O506" s="42"/>
      <c r="P506" s="45">
        <v>106000</v>
      </c>
      <c r="Q506" s="42"/>
      <c r="R506" s="45">
        <v>0</v>
      </c>
    </row>
    <row r="507" spans="1:18" x14ac:dyDescent="0.2">
      <c r="A507" s="42"/>
      <c r="B507" s="42"/>
      <c r="C507" s="42" t="s">
        <v>201</v>
      </c>
      <c r="D507" s="42"/>
      <c r="E507" s="42"/>
      <c r="F507" s="45">
        <v>599000</v>
      </c>
      <c r="G507" s="42"/>
      <c r="H507" s="45">
        <v>90000</v>
      </c>
      <c r="I507" s="42"/>
      <c r="J507" s="45">
        <v>20000</v>
      </c>
      <c r="K507" s="42"/>
      <c r="L507" s="45">
        <v>489000</v>
      </c>
      <c r="M507" s="42"/>
      <c r="N507" s="45">
        <v>284000</v>
      </c>
      <c r="O507" s="42"/>
      <c r="P507" s="45">
        <v>315000</v>
      </c>
      <c r="Q507" s="42"/>
      <c r="R507" s="45">
        <v>0</v>
      </c>
    </row>
    <row r="508" spans="1:18" x14ac:dyDescent="0.2">
      <c r="A508" s="42"/>
      <c r="B508" s="42"/>
      <c r="C508" s="42" t="s">
        <v>202</v>
      </c>
      <c r="D508" s="42"/>
      <c r="E508" s="42"/>
      <c r="F508" s="45">
        <v>600000</v>
      </c>
      <c r="G508" s="42"/>
      <c r="H508" s="45">
        <v>141000</v>
      </c>
      <c r="I508" s="42"/>
      <c r="J508" s="45">
        <v>0</v>
      </c>
      <c r="K508" s="42"/>
      <c r="L508" s="45">
        <v>459000</v>
      </c>
      <c r="M508" s="42"/>
      <c r="N508" s="45">
        <v>316000</v>
      </c>
      <c r="O508" s="42"/>
      <c r="P508" s="45">
        <v>284000</v>
      </c>
      <c r="Q508" s="42"/>
      <c r="R508" s="45">
        <v>0</v>
      </c>
    </row>
    <row r="509" spans="1:18" x14ac:dyDescent="0.2">
      <c r="A509" s="42"/>
      <c r="B509" s="42"/>
      <c r="C509" s="42" t="s">
        <v>203</v>
      </c>
      <c r="D509" s="42"/>
      <c r="E509" s="42"/>
      <c r="F509" s="43">
        <v>505000</v>
      </c>
      <c r="G509" s="42"/>
      <c r="H509" s="43">
        <v>84000</v>
      </c>
      <c r="I509" s="42"/>
      <c r="J509" s="43">
        <v>54000</v>
      </c>
      <c r="K509" s="42"/>
      <c r="L509" s="43">
        <v>367000</v>
      </c>
      <c r="M509" s="42"/>
      <c r="N509" s="43">
        <v>110000</v>
      </c>
      <c r="O509" s="42"/>
      <c r="P509" s="43">
        <v>395000</v>
      </c>
      <c r="Q509" s="42"/>
      <c r="R509" s="43">
        <v>0</v>
      </c>
    </row>
    <row r="510" spans="1:18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</row>
    <row r="511" spans="1:18" x14ac:dyDescent="0.2">
      <c r="A511" s="42"/>
      <c r="B511" s="42"/>
      <c r="C511" s="42"/>
      <c r="D511" s="42"/>
      <c r="E511" s="42" t="s">
        <v>3</v>
      </c>
      <c r="F511" s="43">
        <v>9397000</v>
      </c>
      <c r="G511" s="42"/>
      <c r="H511" s="43">
        <v>1509000</v>
      </c>
      <c r="I511" s="42"/>
      <c r="J511" s="43">
        <v>1311000</v>
      </c>
      <c r="K511" s="42"/>
      <c r="L511" s="43">
        <v>6577000</v>
      </c>
      <c r="M511" s="42"/>
      <c r="N511" s="43">
        <v>4264000</v>
      </c>
      <c r="O511" s="42"/>
      <c r="P511" s="43">
        <v>5261000</v>
      </c>
      <c r="Q511" s="42"/>
      <c r="R511" s="43">
        <v>128000</v>
      </c>
    </row>
    <row r="512" spans="1:18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</row>
    <row r="513" spans="1:18" x14ac:dyDescent="0.2">
      <c r="A513" s="42"/>
      <c r="B513" s="42" t="s">
        <v>28</v>
      </c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</row>
    <row r="514" spans="1:18" x14ac:dyDescent="0.2">
      <c r="A514" s="42"/>
      <c r="B514" s="42"/>
      <c r="C514" s="42" t="s">
        <v>198</v>
      </c>
      <c r="D514" s="42"/>
      <c r="E514" s="42"/>
      <c r="F514" s="45">
        <v>156000</v>
      </c>
      <c r="G514" s="42"/>
      <c r="H514" s="45">
        <v>0</v>
      </c>
      <c r="I514" s="42"/>
      <c r="J514" s="45">
        <v>0</v>
      </c>
      <c r="K514" s="42"/>
      <c r="L514" s="45">
        <v>156000</v>
      </c>
      <c r="M514" s="42"/>
      <c r="N514" s="45">
        <v>44000</v>
      </c>
      <c r="O514" s="42"/>
      <c r="P514" s="45">
        <v>112000</v>
      </c>
      <c r="Q514" s="42"/>
      <c r="R514" s="45">
        <v>0</v>
      </c>
    </row>
    <row r="515" spans="1:18" x14ac:dyDescent="0.2">
      <c r="A515" s="42"/>
      <c r="B515" s="42"/>
      <c r="C515" s="42" t="s">
        <v>115</v>
      </c>
      <c r="D515" s="42"/>
      <c r="E515" s="42"/>
      <c r="F515" s="45">
        <v>210000</v>
      </c>
      <c r="G515" s="42"/>
      <c r="H515" s="45">
        <v>0</v>
      </c>
      <c r="I515" s="42"/>
      <c r="J515" s="45">
        <v>3000</v>
      </c>
      <c r="K515" s="42"/>
      <c r="L515" s="45">
        <v>207000</v>
      </c>
      <c r="M515" s="42"/>
      <c r="N515" s="45">
        <v>132000</v>
      </c>
      <c r="O515" s="42"/>
      <c r="P515" s="45">
        <v>78000</v>
      </c>
      <c r="Q515" s="42"/>
      <c r="R515" s="45">
        <v>0</v>
      </c>
    </row>
    <row r="516" spans="1:18" x14ac:dyDescent="0.2">
      <c r="A516" s="42"/>
      <c r="B516" s="42"/>
      <c r="C516" s="42" t="s">
        <v>203</v>
      </c>
      <c r="D516" s="42"/>
      <c r="E516" s="42"/>
      <c r="F516" s="43">
        <v>237000</v>
      </c>
      <c r="G516" s="42"/>
      <c r="H516" s="43">
        <v>33000</v>
      </c>
      <c r="I516" s="42"/>
      <c r="J516" s="43">
        <v>0</v>
      </c>
      <c r="K516" s="42"/>
      <c r="L516" s="43">
        <v>204000</v>
      </c>
      <c r="M516" s="42"/>
      <c r="N516" s="43">
        <v>55000</v>
      </c>
      <c r="O516" s="42"/>
      <c r="P516" s="43">
        <v>182000</v>
      </c>
      <c r="Q516" s="42"/>
      <c r="R516" s="43">
        <v>0</v>
      </c>
    </row>
    <row r="517" spans="1:18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</row>
    <row r="518" spans="1:18" x14ac:dyDescent="0.2">
      <c r="A518" s="42"/>
      <c r="B518" s="42"/>
      <c r="C518" s="42"/>
      <c r="D518" s="42"/>
      <c r="E518" s="42" t="s">
        <v>3</v>
      </c>
      <c r="F518" s="43">
        <v>603000</v>
      </c>
      <c r="G518" s="42"/>
      <c r="H518" s="43">
        <v>33000</v>
      </c>
      <c r="I518" s="42"/>
      <c r="J518" s="43">
        <v>3000</v>
      </c>
      <c r="K518" s="42"/>
      <c r="L518" s="43">
        <v>567000</v>
      </c>
      <c r="M518" s="42"/>
      <c r="N518" s="43">
        <v>231000</v>
      </c>
      <c r="O518" s="42"/>
      <c r="P518" s="43">
        <v>372000</v>
      </c>
      <c r="Q518" s="42"/>
      <c r="R518" s="43">
        <v>0</v>
      </c>
    </row>
    <row r="519" spans="1:18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</row>
    <row r="520" spans="1:18" x14ac:dyDescent="0.2">
      <c r="A520" s="42"/>
      <c r="B520" s="42" t="s">
        <v>29</v>
      </c>
      <c r="C520" s="42"/>
      <c r="D520" s="42"/>
      <c r="E520" s="42"/>
      <c r="F520" s="42">
        <v>0</v>
      </c>
      <c r="G520" s="42"/>
      <c r="H520" s="42">
        <v>0</v>
      </c>
      <c r="I520" s="42"/>
      <c r="J520" s="42">
        <v>0</v>
      </c>
      <c r="K520" s="42"/>
      <c r="L520" s="42">
        <v>0</v>
      </c>
      <c r="M520" s="42"/>
      <c r="N520" s="42">
        <v>0</v>
      </c>
      <c r="O520" s="42"/>
      <c r="P520" s="42">
        <v>0</v>
      </c>
      <c r="Q520" s="42"/>
      <c r="R520" s="42">
        <v>0</v>
      </c>
    </row>
    <row r="521" spans="1:18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</row>
    <row r="522" spans="1:18" x14ac:dyDescent="0.2">
      <c r="A522" s="42"/>
      <c r="B522" s="42"/>
      <c r="C522" s="42"/>
      <c r="D522" s="42"/>
      <c r="E522" s="42" t="s">
        <v>204</v>
      </c>
      <c r="F522" s="43">
        <v>10987000</v>
      </c>
      <c r="G522" s="42"/>
      <c r="H522" s="43">
        <v>1580000</v>
      </c>
      <c r="I522" s="42"/>
      <c r="J522" s="43">
        <v>1514000</v>
      </c>
      <c r="K522" s="42"/>
      <c r="L522" s="43">
        <v>7893000</v>
      </c>
      <c r="M522" s="42"/>
      <c r="N522" s="43">
        <v>4894000</v>
      </c>
      <c r="O522" s="42"/>
      <c r="P522" s="43">
        <v>6221000</v>
      </c>
      <c r="Q522" s="42"/>
      <c r="R522" s="43">
        <v>128000</v>
      </c>
    </row>
    <row r="523" spans="1:18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</row>
    <row r="524" spans="1:18" x14ac:dyDescent="0.2">
      <c r="A524" s="44" t="s">
        <v>205</v>
      </c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</row>
    <row r="525" spans="1:18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</row>
    <row r="526" spans="1:18" x14ac:dyDescent="0.2">
      <c r="A526" s="42"/>
      <c r="B526" s="42" t="s">
        <v>13</v>
      </c>
      <c r="C526" s="42"/>
      <c r="D526" s="42"/>
      <c r="E526" s="42"/>
      <c r="F526" s="43">
        <v>6538000</v>
      </c>
      <c r="G526" s="42"/>
      <c r="H526" s="43">
        <v>4355000</v>
      </c>
      <c r="I526" s="42"/>
      <c r="J526" s="43">
        <v>1847000</v>
      </c>
      <c r="K526" s="42"/>
      <c r="L526" s="43">
        <v>336000</v>
      </c>
      <c r="M526" s="42"/>
      <c r="N526" s="43">
        <v>4015000</v>
      </c>
      <c r="O526" s="42"/>
      <c r="P526" s="43">
        <v>2523000</v>
      </c>
      <c r="Q526" s="42"/>
      <c r="R526" s="43">
        <v>0</v>
      </c>
    </row>
    <row r="527" spans="1:18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</row>
    <row r="528" spans="1:18" x14ac:dyDescent="0.2">
      <c r="A528" s="42"/>
      <c r="B528" s="42" t="s">
        <v>24</v>
      </c>
      <c r="C528" s="42"/>
      <c r="D528" s="42"/>
      <c r="E528" s="42"/>
      <c r="F528" s="43">
        <v>151000</v>
      </c>
      <c r="G528" s="42"/>
      <c r="H528" s="43">
        <v>50000</v>
      </c>
      <c r="I528" s="42"/>
      <c r="J528" s="43">
        <v>0</v>
      </c>
      <c r="K528" s="42"/>
      <c r="L528" s="43">
        <v>101000</v>
      </c>
      <c r="M528" s="42"/>
      <c r="N528" s="43">
        <v>105000</v>
      </c>
      <c r="O528" s="42"/>
      <c r="P528" s="43">
        <v>46000</v>
      </c>
      <c r="Q528" s="42"/>
      <c r="R528" s="43">
        <v>0</v>
      </c>
    </row>
    <row r="529" spans="1:18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</row>
    <row r="530" spans="1:18" x14ac:dyDescent="0.2">
      <c r="A530" s="42"/>
      <c r="B530" s="42" t="s">
        <v>28</v>
      </c>
      <c r="C530" s="42"/>
      <c r="D530" s="42"/>
      <c r="E530" s="42"/>
      <c r="F530" s="43">
        <v>244000</v>
      </c>
      <c r="G530" s="42"/>
      <c r="H530" s="43">
        <v>0</v>
      </c>
      <c r="I530" s="42"/>
      <c r="J530" s="43">
        <v>6000</v>
      </c>
      <c r="K530" s="42"/>
      <c r="L530" s="43">
        <v>238000</v>
      </c>
      <c r="M530" s="42"/>
      <c r="N530" s="43">
        <v>82000</v>
      </c>
      <c r="O530" s="42"/>
      <c r="P530" s="43">
        <v>162000</v>
      </c>
      <c r="Q530" s="42"/>
      <c r="R530" s="43">
        <v>0</v>
      </c>
    </row>
    <row r="531" spans="1:18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</row>
    <row r="532" spans="1:18" x14ac:dyDescent="0.2">
      <c r="A532" s="42"/>
      <c r="B532" s="42"/>
      <c r="C532" s="42"/>
      <c r="D532" s="42"/>
      <c r="E532" s="42" t="s">
        <v>206</v>
      </c>
      <c r="F532" s="43">
        <v>6933000</v>
      </c>
      <c r="G532" s="42"/>
      <c r="H532" s="43">
        <v>4405000</v>
      </c>
      <c r="I532" s="42"/>
      <c r="J532" s="43">
        <v>1853000</v>
      </c>
      <c r="K532" s="42"/>
      <c r="L532" s="43">
        <v>675000</v>
      </c>
      <c r="M532" s="42"/>
      <c r="N532" s="43">
        <v>4202000</v>
      </c>
      <c r="O532" s="42"/>
      <c r="P532" s="43">
        <v>2731000</v>
      </c>
      <c r="Q532" s="42"/>
      <c r="R532" s="43">
        <v>0</v>
      </c>
    </row>
    <row r="533" spans="1:18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</row>
    <row r="534" spans="1:18" x14ac:dyDescent="0.2">
      <c r="A534" s="42" t="s">
        <v>207</v>
      </c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</row>
    <row r="535" spans="1:18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</row>
    <row r="536" spans="1:18" x14ac:dyDescent="0.2">
      <c r="A536" s="42"/>
      <c r="B536" s="42" t="s">
        <v>13</v>
      </c>
      <c r="C536" s="42"/>
      <c r="D536" s="42"/>
      <c r="E536" s="42"/>
      <c r="F536" s="43">
        <v>17596000</v>
      </c>
      <c r="G536" s="42"/>
      <c r="H536" s="43">
        <v>0</v>
      </c>
      <c r="I536" s="42"/>
      <c r="J536" s="43">
        <v>17532000</v>
      </c>
      <c r="K536" s="42"/>
      <c r="L536" s="43">
        <v>64000</v>
      </c>
      <c r="M536" s="42"/>
      <c r="N536" s="43">
        <v>11130000</v>
      </c>
      <c r="O536" s="42"/>
      <c r="P536" s="43">
        <v>6466000</v>
      </c>
      <c r="Q536" s="42"/>
      <c r="R536" s="43">
        <v>0</v>
      </c>
    </row>
    <row r="537" spans="1:18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</row>
    <row r="538" spans="1:18" x14ac:dyDescent="0.2">
      <c r="A538" s="42" t="s">
        <v>208</v>
      </c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</row>
    <row r="539" spans="1:18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</row>
    <row r="540" spans="1:18" x14ac:dyDescent="0.2">
      <c r="A540" s="42"/>
      <c r="B540" s="42" t="s">
        <v>13</v>
      </c>
      <c r="C540" s="42"/>
      <c r="D540" s="42"/>
      <c r="E540" s="42"/>
      <c r="F540" s="43">
        <v>31860000</v>
      </c>
      <c r="G540" s="42"/>
      <c r="H540" s="43">
        <v>-439000</v>
      </c>
      <c r="I540" s="42"/>
      <c r="J540" s="43">
        <v>32262000</v>
      </c>
      <c r="K540" s="42"/>
      <c r="L540" s="43">
        <v>37000</v>
      </c>
      <c r="M540" s="42"/>
      <c r="N540" s="43">
        <v>15380000</v>
      </c>
      <c r="O540" s="42"/>
      <c r="P540" s="43">
        <v>16480000</v>
      </c>
      <c r="Q540" s="42"/>
      <c r="R540" s="43">
        <v>0</v>
      </c>
    </row>
    <row r="541" spans="1:18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</row>
    <row r="542" spans="1:18" x14ac:dyDescent="0.2">
      <c r="A542" s="44" t="s">
        <v>209</v>
      </c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</row>
    <row r="543" spans="1:18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</row>
    <row r="544" spans="1:18" x14ac:dyDescent="0.2">
      <c r="A544" s="42"/>
      <c r="B544" s="42" t="s">
        <v>13</v>
      </c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</row>
    <row r="545" spans="1:18" x14ac:dyDescent="0.2">
      <c r="A545" s="42"/>
      <c r="B545" s="42"/>
      <c r="C545" s="42" t="s">
        <v>210</v>
      </c>
      <c r="D545" s="42"/>
      <c r="E545" s="42"/>
      <c r="F545" s="45">
        <v>6000</v>
      </c>
      <c r="G545" s="42"/>
      <c r="H545" s="45">
        <v>1000</v>
      </c>
      <c r="I545" s="42"/>
      <c r="J545" s="45">
        <v>0</v>
      </c>
      <c r="K545" s="42"/>
      <c r="L545" s="45">
        <v>5000</v>
      </c>
      <c r="M545" s="42"/>
      <c r="N545" s="45">
        <v>0</v>
      </c>
      <c r="O545" s="42"/>
      <c r="P545" s="45">
        <v>6000</v>
      </c>
      <c r="Q545" s="42"/>
      <c r="R545" s="45">
        <v>0</v>
      </c>
    </row>
    <row r="546" spans="1:18" x14ac:dyDescent="0.2">
      <c r="A546" s="42"/>
      <c r="B546" s="42"/>
      <c r="C546" s="42" t="s">
        <v>211</v>
      </c>
      <c r="D546" s="42"/>
      <c r="E546" s="42"/>
      <c r="F546" s="45">
        <v>13000</v>
      </c>
      <c r="G546" s="42"/>
      <c r="H546" s="45">
        <v>37000</v>
      </c>
      <c r="I546" s="42"/>
      <c r="J546" s="45">
        <v>-24000</v>
      </c>
      <c r="K546" s="42"/>
      <c r="L546" s="45">
        <v>0</v>
      </c>
      <c r="M546" s="42"/>
      <c r="N546" s="45">
        <v>9000</v>
      </c>
      <c r="O546" s="42"/>
      <c r="P546" s="45">
        <v>4000</v>
      </c>
      <c r="Q546" s="42"/>
      <c r="R546" s="45">
        <v>0</v>
      </c>
    </row>
    <row r="547" spans="1:18" x14ac:dyDescent="0.2">
      <c r="A547" s="42"/>
      <c r="B547" s="42"/>
      <c r="C547" s="42" t="s">
        <v>212</v>
      </c>
      <c r="D547" s="42"/>
      <c r="E547" s="42"/>
      <c r="F547" s="45">
        <v>240000</v>
      </c>
      <c r="G547" s="42"/>
      <c r="H547" s="45">
        <v>152000</v>
      </c>
      <c r="I547" s="42"/>
      <c r="J547" s="45">
        <v>3000</v>
      </c>
      <c r="K547" s="42"/>
      <c r="L547" s="45">
        <v>85000</v>
      </c>
      <c r="M547" s="42"/>
      <c r="N547" s="45">
        <v>145000</v>
      </c>
      <c r="O547" s="42"/>
      <c r="P547" s="45">
        <v>95000</v>
      </c>
      <c r="Q547" s="42"/>
      <c r="R547" s="45">
        <v>0</v>
      </c>
    </row>
    <row r="548" spans="1:18" x14ac:dyDescent="0.2">
      <c r="A548" s="42"/>
      <c r="B548" s="42"/>
      <c r="C548" s="42" t="s">
        <v>213</v>
      </c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</row>
    <row r="549" spans="1:18" x14ac:dyDescent="0.2">
      <c r="A549" s="42"/>
      <c r="B549" s="42"/>
      <c r="C549" s="42"/>
      <c r="D549" s="42"/>
      <c r="E549" s="42" t="s">
        <v>214</v>
      </c>
      <c r="F549" s="45">
        <v>368000</v>
      </c>
      <c r="G549" s="42"/>
      <c r="H549" s="45">
        <v>-36000</v>
      </c>
      <c r="I549" s="42"/>
      <c r="J549" s="45">
        <v>15000</v>
      </c>
      <c r="K549" s="42"/>
      <c r="L549" s="45">
        <v>389000</v>
      </c>
      <c r="M549" s="42"/>
      <c r="N549" s="45">
        <v>156000</v>
      </c>
      <c r="O549" s="42"/>
      <c r="P549" s="45">
        <v>212000</v>
      </c>
      <c r="Q549" s="42"/>
      <c r="R549" s="45">
        <v>0</v>
      </c>
    </row>
    <row r="550" spans="1:18" x14ac:dyDescent="0.2">
      <c r="A550" s="42"/>
      <c r="B550" s="42"/>
      <c r="C550" s="42" t="s">
        <v>215</v>
      </c>
      <c r="D550" s="42"/>
      <c r="E550" s="42"/>
      <c r="F550" s="45">
        <v>0</v>
      </c>
      <c r="G550" s="42"/>
      <c r="H550" s="45">
        <v>0</v>
      </c>
      <c r="I550" s="42"/>
      <c r="J550" s="45">
        <v>0</v>
      </c>
      <c r="K550" s="42"/>
      <c r="L550" s="45">
        <v>0</v>
      </c>
      <c r="M550" s="42"/>
      <c r="N550" s="45">
        <v>0</v>
      </c>
      <c r="O550" s="42"/>
      <c r="P550" s="45">
        <v>0</v>
      </c>
      <c r="Q550" s="42"/>
      <c r="R550" s="45">
        <v>0</v>
      </c>
    </row>
    <row r="551" spans="1:18" x14ac:dyDescent="0.2">
      <c r="A551" s="42"/>
      <c r="B551" s="42"/>
      <c r="C551" s="42" t="s">
        <v>216</v>
      </c>
      <c r="D551" s="42"/>
      <c r="E551" s="42"/>
      <c r="F551" s="45">
        <v>481000</v>
      </c>
      <c r="G551" s="42"/>
      <c r="H551" s="45">
        <v>160000</v>
      </c>
      <c r="I551" s="42"/>
      <c r="J551" s="45">
        <v>266000</v>
      </c>
      <c r="K551" s="42"/>
      <c r="L551" s="45">
        <v>55000</v>
      </c>
      <c r="M551" s="42"/>
      <c r="N551" s="45">
        <v>308000</v>
      </c>
      <c r="O551" s="42"/>
      <c r="P551" s="45">
        <v>173000</v>
      </c>
      <c r="Q551" s="42"/>
      <c r="R551" s="45">
        <v>0</v>
      </c>
    </row>
    <row r="552" spans="1:18" x14ac:dyDescent="0.2">
      <c r="A552" s="42"/>
      <c r="B552" s="42"/>
      <c r="C552" s="42" t="s">
        <v>217</v>
      </c>
      <c r="D552" s="42"/>
      <c r="E552" s="42"/>
      <c r="F552" s="45">
        <v>0</v>
      </c>
      <c r="G552" s="42"/>
      <c r="H552" s="45">
        <v>0</v>
      </c>
      <c r="I552" s="42"/>
      <c r="J552" s="45">
        <v>0</v>
      </c>
      <c r="K552" s="42"/>
      <c r="L552" s="45">
        <v>0</v>
      </c>
      <c r="M552" s="42"/>
      <c r="N552" s="45">
        <v>1000</v>
      </c>
      <c r="O552" s="42"/>
      <c r="P552" s="45">
        <v>-1000</v>
      </c>
      <c r="Q552" s="42"/>
      <c r="R552" s="45">
        <v>0</v>
      </c>
    </row>
    <row r="553" spans="1:18" x14ac:dyDescent="0.2">
      <c r="A553" s="42"/>
      <c r="B553" s="42"/>
      <c r="C553" s="42" t="s">
        <v>218</v>
      </c>
      <c r="D553" s="42"/>
      <c r="E553" s="42"/>
      <c r="F553" s="45">
        <v>1476000</v>
      </c>
      <c r="G553" s="42"/>
      <c r="H553" s="45">
        <v>1418000</v>
      </c>
      <c r="I553" s="42"/>
      <c r="J553" s="45">
        <v>18000</v>
      </c>
      <c r="K553" s="42"/>
      <c r="L553" s="45">
        <v>40000</v>
      </c>
      <c r="M553" s="42"/>
      <c r="N553" s="45">
        <v>986000</v>
      </c>
      <c r="O553" s="42"/>
      <c r="P553" s="45">
        <v>490000</v>
      </c>
      <c r="Q553" s="42"/>
      <c r="R553" s="45">
        <v>0</v>
      </c>
    </row>
    <row r="554" spans="1:18" x14ac:dyDescent="0.2">
      <c r="A554" s="42"/>
      <c r="B554" s="42"/>
      <c r="C554" s="42" t="s">
        <v>219</v>
      </c>
      <c r="D554" s="42"/>
      <c r="E554" s="42"/>
      <c r="F554" s="45">
        <v>0</v>
      </c>
      <c r="G554" s="42"/>
      <c r="H554" s="45">
        <v>0</v>
      </c>
      <c r="I554" s="42"/>
      <c r="J554" s="45">
        <v>0</v>
      </c>
      <c r="K554" s="42"/>
      <c r="L554" s="45">
        <v>0</v>
      </c>
      <c r="M554" s="42"/>
      <c r="N554" s="45">
        <v>0</v>
      </c>
      <c r="O554" s="42"/>
      <c r="P554" s="45">
        <v>0</v>
      </c>
      <c r="Q554" s="42"/>
      <c r="R554" s="45">
        <v>0</v>
      </c>
    </row>
    <row r="555" spans="1:18" x14ac:dyDescent="0.2">
      <c r="A555" s="42"/>
      <c r="B555" s="42"/>
      <c r="C555" s="42" t="s">
        <v>220</v>
      </c>
      <c r="D555" s="42"/>
      <c r="E555" s="42"/>
      <c r="F555" s="45">
        <v>2623000</v>
      </c>
      <c r="G555" s="42"/>
      <c r="H555" s="45">
        <v>2228000</v>
      </c>
      <c r="I555" s="42"/>
      <c r="J555" s="45">
        <v>158000</v>
      </c>
      <c r="K555" s="42"/>
      <c r="L555" s="45">
        <v>237000</v>
      </c>
      <c r="M555" s="42"/>
      <c r="N555" s="45">
        <v>1712000</v>
      </c>
      <c r="O555" s="42"/>
      <c r="P555" s="45">
        <v>899000</v>
      </c>
      <c r="Q555" s="42"/>
      <c r="R555" s="45">
        <v>-12000</v>
      </c>
    </row>
    <row r="556" spans="1:18" x14ac:dyDescent="0.2">
      <c r="A556" s="42"/>
      <c r="B556" s="42"/>
      <c r="C556" s="42" t="s">
        <v>221</v>
      </c>
      <c r="D556" s="42"/>
      <c r="E556" s="42"/>
      <c r="F556" s="45">
        <v>-9000</v>
      </c>
      <c r="G556" s="42"/>
      <c r="H556" s="45">
        <v>0</v>
      </c>
      <c r="I556" s="42"/>
      <c r="J556" s="45">
        <v>-11000</v>
      </c>
      <c r="K556" s="42"/>
      <c r="L556" s="45">
        <v>2000</v>
      </c>
      <c r="M556" s="42"/>
      <c r="N556" s="45">
        <v>0</v>
      </c>
      <c r="O556" s="42"/>
      <c r="P556" s="45">
        <v>-9000</v>
      </c>
      <c r="Q556" s="42"/>
      <c r="R556" s="45">
        <v>0</v>
      </c>
    </row>
    <row r="557" spans="1:18" x14ac:dyDescent="0.2">
      <c r="A557" s="42"/>
      <c r="B557" s="42"/>
      <c r="C557" s="42" t="s">
        <v>222</v>
      </c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</row>
    <row r="558" spans="1:18" x14ac:dyDescent="0.2">
      <c r="A558" s="42"/>
      <c r="B558" s="42"/>
      <c r="C558" s="42"/>
      <c r="D558" s="42"/>
      <c r="E558" s="42" t="s">
        <v>223</v>
      </c>
      <c r="F558" s="45">
        <v>7000</v>
      </c>
      <c r="G558" s="42"/>
      <c r="H558" s="45">
        <v>0</v>
      </c>
      <c r="I558" s="42"/>
      <c r="J558" s="45">
        <v>7000</v>
      </c>
      <c r="K558" s="42"/>
      <c r="L558" s="45">
        <v>0</v>
      </c>
      <c r="M558" s="42"/>
      <c r="N558" s="45">
        <v>0</v>
      </c>
      <c r="O558" s="42"/>
      <c r="P558" s="45">
        <v>7000</v>
      </c>
      <c r="Q558" s="42"/>
      <c r="R558" s="45">
        <v>0</v>
      </c>
    </row>
    <row r="559" spans="1:18" x14ac:dyDescent="0.2">
      <c r="A559" s="42"/>
      <c r="B559" s="42"/>
      <c r="C559" s="42" t="s">
        <v>224</v>
      </c>
      <c r="D559" s="42"/>
      <c r="E559" s="42"/>
      <c r="F559" s="45">
        <v>11000</v>
      </c>
      <c r="G559" s="42"/>
      <c r="H559" s="45">
        <v>6000</v>
      </c>
      <c r="I559" s="42"/>
      <c r="J559" s="45">
        <v>0</v>
      </c>
      <c r="K559" s="42"/>
      <c r="L559" s="45">
        <v>5000</v>
      </c>
      <c r="M559" s="42"/>
      <c r="N559" s="45">
        <v>-1000</v>
      </c>
      <c r="O559" s="42"/>
      <c r="P559" s="45">
        <v>12000</v>
      </c>
      <c r="Q559" s="42"/>
      <c r="R559" s="45">
        <v>0</v>
      </c>
    </row>
    <row r="560" spans="1:18" x14ac:dyDescent="0.2">
      <c r="A560" s="42"/>
      <c r="B560" s="42"/>
      <c r="C560" s="42" t="s">
        <v>225</v>
      </c>
      <c r="D560" s="42"/>
      <c r="E560" s="42"/>
      <c r="F560" s="45">
        <v>0</v>
      </c>
      <c r="G560" s="42"/>
      <c r="H560" s="45">
        <v>0</v>
      </c>
      <c r="I560" s="42"/>
      <c r="J560" s="45">
        <v>0</v>
      </c>
      <c r="K560" s="42"/>
      <c r="L560" s="45">
        <v>0</v>
      </c>
      <c r="M560" s="42"/>
      <c r="N560" s="45">
        <v>0</v>
      </c>
      <c r="O560" s="42"/>
      <c r="P560" s="45">
        <v>0</v>
      </c>
      <c r="Q560" s="42"/>
      <c r="R560" s="45">
        <v>0</v>
      </c>
    </row>
    <row r="561" spans="1:18" x14ac:dyDescent="0.2">
      <c r="A561" s="42"/>
      <c r="B561" s="42"/>
      <c r="C561" s="42" t="s">
        <v>226</v>
      </c>
      <c r="D561" s="42"/>
      <c r="E561" s="42"/>
      <c r="F561" s="45">
        <v>15000</v>
      </c>
      <c r="G561" s="42"/>
      <c r="H561" s="45">
        <v>14000</v>
      </c>
      <c r="I561" s="42"/>
      <c r="J561" s="45">
        <v>0</v>
      </c>
      <c r="K561" s="42"/>
      <c r="L561" s="45">
        <v>1000</v>
      </c>
      <c r="M561" s="42"/>
      <c r="N561" s="45">
        <v>10000</v>
      </c>
      <c r="O561" s="42"/>
      <c r="P561" s="45">
        <v>5000</v>
      </c>
      <c r="Q561" s="42"/>
      <c r="R561" s="45">
        <v>0</v>
      </c>
    </row>
    <row r="562" spans="1:18" x14ac:dyDescent="0.2">
      <c r="A562" s="42"/>
      <c r="B562" s="42"/>
      <c r="C562" s="42" t="s">
        <v>227</v>
      </c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</row>
    <row r="563" spans="1:18" x14ac:dyDescent="0.2">
      <c r="A563" s="42"/>
      <c r="B563" s="42"/>
      <c r="C563" s="42"/>
      <c r="D563" s="42"/>
      <c r="E563" s="42" t="s">
        <v>51</v>
      </c>
      <c r="F563" s="42">
        <v>87000</v>
      </c>
      <c r="G563" s="42"/>
      <c r="H563" s="42">
        <v>0</v>
      </c>
      <c r="I563" s="42"/>
      <c r="J563" s="42">
        <v>0</v>
      </c>
      <c r="K563" s="42"/>
      <c r="L563" s="42">
        <v>87000</v>
      </c>
      <c r="M563" s="42"/>
      <c r="N563" s="42">
        <v>0</v>
      </c>
      <c r="O563" s="42"/>
      <c r="P563" s="42">
        <v>87000</v>
      </c>
      <c r="Q563" s="42"/>
      <c r="R563" s="42">
        <v>0</v>
      </c>
    </row>
    <row r="564" spans="1:18" x14ac:dyDescent="0.2">
      <c r="A564" s="42"/>
      <c r="B564" s="42"/>
      <c r="C564" s="42" t="s">
        <v>228</v>
      </c>
      <c r="D564" s="42"/>
      <c r="E564" s="42"/>
      <c r="F564" s="42">
        <v>0</v>
      </c>
      <c r="G564" s="42"/>
      <c r="H564" s="42">
        <v>0</v>
      </c>
      <c r="I564" s="42"/>
      <c r="J564" s="42">
        <v>0</v>
      </c>
      <c r="K564" s="42"/>
      <c r="L564" s="42">
        <v>0</v>
      </c>
      <c r="M564" s="42"/>
      <c r="N564" s="42">
        <v>0</v>
      </c>
      <c r="O564" s="42"/>
      <c r="P564" s="42">
        <v>0</v>
      </c>
      <c r="Q564" s="42"/>
      <c r="R564" s="42">
        <v>0</v>
      </c>
    </row>
    <row r="565" spans="1:18" x14ac:dyDescent="0.2">
      <c r="A565" s="42"/>
      <c r="B565" s="42"/>
      <c r="C565" s="42" t="s">
        <v>229</v>
      </c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</row>
    <row r="566" spans="1:18" x14ac:dyDescent="0.2">
      <c r="A566" s="42"/>
      <c r="B566" s="42"/>
      <c r="C566" s="42"/>
      <c r="D566" s="42"/>
      <c r="E566" s="42" t="s">
        <v>230</v>
      </c>
      <c r="F566" s="45">
        <v>244000</v>
      </c>
      <c r="G566" s="42"/>
      <c r="H566" s="45">
        <v>-2000</v>
      </c>
      <c r="I566" s="42"/>
      <c r="J566" s="45">
        <v>1000</v>
      </c>
      <c r="K566" s="42"/>
      <c r="L566" s="45">
        <v>245000</v>
      </c>
      <c r="M566" s="42"/>
      <c r="N566" s="45">
        <v>142000</v>
      </c>
      <c r="O566" s="42"/>
      <c r="P566" s="45">
        <v>102000</v>
      </c>
      <c r="Q566" s="42"/>
      <c r="R566" s="45">
        <v>0</v>
      </c>
    </row>
    <row r="567" spans="1:18" x14ac:dyDescent="0.2">
      <c r="A567" s="42"/>
      <c r="B567" s="42"/>
      <c r="C567" s="42" t="s">
        <v>231</v>
      </c>
      <c r="D567" s="42"/>
      <c r="E567" s="42"/>
      <c r="F567" s="45">
        <v>0</v>
      </c>
      <c r="G567" s="42"/>
      <c r="H567" s="45">
        <v>0</v>
      </c>
      <c r="I567" s="42"/>
      <c r="J567" s="45">
        <v>0</v>
      </c>
      <c r="K567" s="42"/>
      <c r="L567" s="45">
        <v>0</v>
      </c>
      <c r="M567" s="42"/>
      <c r="N567" s="45">
        <v>0</v>
      </c>
      <c r="O567" s="42"/>
      <c r="P567" s="45">
        <v>0</v>
      </c>
      <c r="Q567" s="42"/>
      <c r="R567" s="45">
        <v>0</v>
      </c>
    </row>
    <row r="568" spans="1:18" x14ac:dyDescent="0.2">
      <c r="A568" s="42"/>
      <c r="B568" s="42"/>
      <c r="C568" s="42" t="s">
        <v>232</v>
      </c>
      <c r="D568" s="42"/>
      <c r="E568" s="42"/>
      <c r="F568" s="45">
        <v>0</v>
      </c>
      <c r="G568" s="42"/>
      <c r="H568" s="45">
        <v>0</v>
      </c>
      <c r="I568" s="42"/>
      <c r="J568" s="45">
        <v>0</v>
      </c>
      <c r="K568" s="42"/>
      <c r="L568" s="45">
        <v>0</v>
      </c>
      <c r="M568" s="42"/>
      <c r="N568" s="45">
        <v>0</v>
      </c>
      <c r="O568" s="42"/>
      <c r="P568" s="45">
        <v>0</v>
      </c>
      <c r="Q568" s="42"/>
      <c r="R568" s="45">
        <v>0</v>
      </c>
    </row>
    <row r="569" spans="1:18" x14ac:dyDescent="0.2">
      <c r="A569" s="42"/>
      <c r="B569" s="42"/>
      <c r="C569" s="42" t="s">
        <v>233</v>
      </c>
      <c r="D569" s="42"/>
      <c r="E569" s="42"/>
      <c r="F569" s="45">
        <v>3000</v>
      </c>
      <c r="G569" s="42"/>
      <c r="H569" s="45">
        <v>0</v>
      </c>
      <c r="I569" s="42"/>
      <c r="J569" s="45">
        <v>3000</v>
      </c>
      <c r="K569" s="42"/>
      <c r="L569" s="45">
        <v>0</v>
      </c>
      <c r="M569" s="42"/>
      <c r="N569" s="45">
        <v>0</v>
      </c>
      <c r="O569" s="42"/>
      <c r="P569" s="45">
        <v>3000</v>
      </c>
      <c r="Q569" s="42"/>
      <c r="R569" s="45">
        <v>0</v>
      </c>
    </row>
    <row r="570" spans="1:18" x14ac:dyDescent="0.2">
      <c r="A570" s="42"/>
      <c r="B570" s="42"/>
      <c r="C570" s="42" t="s">
        <v>234</v>
      </c>
      <c r="D570" s="42"/>
      <c r="E570" s="42"/>
      <c r="F570" s="45">
        <v>-1780000</v>
      </c>
      <c r="G570" s="42"/>
      <c r="H570" s="45">
        <v>58843000</v>
      </c>
      <c r="I570" s="42"/>
      <c r="J570" s="45">
        <v>-82194000</v>
      </c>
      <c r="K570" s="42"/>
      <c r="L570" s="45">
        <v>21571000</v>
      </c>
      <c r="M570" s="42"/>
      <c r="N570" s="45">
        <v>547000</v>
      </c>
      <c r="O570" s="42"/>
      <c r="P570" s="45">
        <v>-2326000</v>
      </c>
      <c r="Q570" s="42"/>
      <c r="R570" s="45">
        <v>1000</v>
      </c>
    </row>
    <row r="571" spans="1:18" x14ac:dyDescent="0.2">
      <c r="A571" s="42"/>
      <c r="B571" s="42"/>
      <c r="C571" s="42" t="s">
        <v>235</v>
      </c>
      <c r="D571" s="42"/>
      <c r="E571" s="42"/>
      <c r="F571" s="45">
        <v>21000</v>
      </c>
      <c r="G571" s="42"/>
      <c r="H571" s="45">
        <v>0</v>
      </c>
      <c r="I571" s="42"/>
      <c r="J571" s="45">
        <v>1000</v>
      </c>
      <c r="K571" s="42"/>
      <c r="L571" s="45">
        <v>20000</v>
      </c>
      <c r="M571" s="42"/>
      <c r="N571" s="45">
        <v>14000</v>
      </c>
      <c r="O571" s="42"/>
      <c r="P571" s="45">
        <v>7000</v>
      </c>
      <c r="Q571" s="42"/>
      <c r="R571" s="45">
        <v>0</v>
      </c>
    </row>
    <row r="572" spans="1:18" x14ac:dyDescent="0.2">
      <c r="A572" s="42"/>
      <c r="B572" s="42"/>
      <c r="C572" s="42" t="s">
        <v>236</v>
      </c>
      <c r="D572" s="42"/>
      <c r="E572" s="42"/>
      <c r="F572" s="45">
        <v>60000</v>
      </c>
      <c r="G572" s="42"/>
      <c r="H572" s="45">
        <v>0</v>
      </c>
      <c r="I572" s="42"/>
      <c r="J572" s="45">
        <v>0</v>
      </c>
      <c r="K572" s="42"/>
      <c r="L572" s="45">
        <v>60000</v>
      </c>
      <c r="M572" s="42"/>
      <c r="N572" s="45">
        <v>0</v>
      </c>
      <c r="O572" s="42"/>
      <c r="P572" s="45">
        <v>60000</v>
      </c>
      <c r="Q572" s="42"/>
      <c r="R572" s="45">
        <v>0</v>
      </c>
    </row>
    <row r="573" spans="1:18" x14ac:dyDescent="0.2">
      <c r="A573" s="42"/>
      <c r="B573" s="42"/>
      <c r="C573" s="42" t="s">
        <v>237</v>
      </c>
      <c r="D573" s="42"/>
      <c r="E573" s="42"/>
      <c r="F573" s="45">
        <v>0</v>
      </c>
      <c r="G573" s="42"/>
      <c r="H573" s="45">
        <v>0</v>
      </c>
      <c r="I573" s="42"/>
      <c r="J573" s="45">
        <v>0</v>
      </c>
      <c r="K573" s="42"/>
      <c r="L573" s="45">
        <v>0</v>
      </c>
      <c r="M573" s="42"/>
      <c r="N573" s="45">
        <v>0</v>
      </c>
      <c r="O573" s="42"/>
      <c r="P573" s="45">
        <v>0</v>
      </c>
      <c r="Q573" s="42"/>
      <c r="R573" s="45">
        <v>0</v>
      </c>
    </row>
    <row r="574" spans="1:18" x14ac:dyDescent="0.2">
      <c r="A574" s="42"/>
      <c r="B574" s="42"/>
      <c r="C574" s="42" t="s">
        <v>238</v>
      </c>
      <c r="D574" s="42"/>
      <c r="E574" s="42"/>
      <c r="F574" s="45">
        <v>0</v>
      </c>
      <c r="G574" s="42"/>
      <c r="H574" s="45">
        <v>0</v>
      </c>
      <c r="I574" s="42"/>
      <c r="J574" s="45">
        <v>0</v>
      </c>
      <c r="K574" s="42"/>
      <c r="L574" s="45">
        <v>0</v>
      </c>
      <c r="M574" s="42"/>
      <c r="N574" s="45">
        <v>0</v>
      </c>
      <c r="O574" s="42"/>
      <c r="P574" s="45">
        <v>0</v>
      </c>
      <c r="Q574" s="42"/>
      <c r="R574" s="45">
        <v>0</v>
      </c>
    </row>
    <row r="575" spans="1:18" x14ac:dyDescent="0.2">
      <c r="A575" s="42"/>
      <c r="B575" s="42"/>
      <c r="C575" s="42" t="s">
        <v>239</v>
      </c>
      <c r="D575" s="42"/>
      <c r="E575" s="42"/>
      <c r="F575" s="45">
        <v>4000</v>
      </c>
      <c r="G575" s="42"/>
      <c r="H575" s="45">
        <v>4000</v>
      </c>
      <c r="I575" s="42"/>
      <c r="J575" s="45">
        <v>0</v>
      </c>
      <c r="K575" s="42"/>
      <c r="L575" s="45">
        <v>0</v>
      </c>
      <c r="M575" s="42"/>
      <c r="N575" s="45">
        <v>0</v>
      </c>
      <c r="O575" s="42"/>
      <c r="P575" s="45">
        <v>4000</v>
      </c>
      <c r="Q575" s="42"/>
      <c r="R575" s="45">
        <v>0</v>
      </c>
    </row>
    <row r="576" spans="1:18" x14ac:dyDescent="0.2">
      <c r="A576" s="42"/>
      <c r="B576" s="42"/>
      <c r="C576" s="42" t="s">
        <v>240</v>
      </c>
      <c r="D576" s="42"/>
      <c r="E576" s="42"/>
      <c r="F576" s="45">
        <v>115000</v>
      </c>
      <c r="G576" s="42"/>
      <c r="H576" s="45">
        <v>0</v>
      </c>
      <c r="I576" s="42"/>
      <c r="J576" s="45">
        <v>114000</v>
      </c>
      <c r="K576" s="42"/>
      <c r="L576" s="45">
        <v>1000</v>
      </c>
      <c r="M576" s="42"/>
      <c r="N576" s="45">
        <v>35000</v>
      </c>
      <c r="O576" s="42"/>
      <c r="P576" s="45">
        <v>80000</v>
      </c>
      <c r="Q576" s="42"/>
      <c r="R576" s="45">
        <v>0</v>
      </c>
    </row>
    <row r="577" spans="1:18" x14ac:dyDescent="0.2">
      <c r="A577" s="42"/>
      <c r="B577" s="42"/>
      <c r="C577" s="42" t="s">
        <v>241</v>
      </c>
      <c r="D577" s="42"/>
      <c r="E577" s="42"/>
      <c r="F577" s="45">
        <v>14000</v>
      </c>
      <c r="G577" s="42"/>
      <c r="H577" s="45">
        <v>0</v>
      </c>
      <c r="I577" s="42"/>
      <c r="J577" s="45">
        <v>1000</v>
      </c>
      <c r="K577" s="42"/>
      <c r="L577" s="45">
        <v>13000</v>
      </c>
      <c r="M577" s="42"/>
      <c r="N577" s="45">
        <v>13000</v>
      </c>
      <c r="O577" s="42"/>
      <c r="P577" s="45">
        <v>1000</v>
      </c>
      <c r="Q577" s="42"/>
      <c r="R577" s="45">
        <v>0</v>
      </c>
    </row>
    <row r="578" spans="1:18" x14ac:dyDescent="0.2">
      <c r="A578" s="42"/>
      <c r="B578" s="42"/>
      <c r="C578" s="42" t="s">
        <v>242</v>
      </c>
      <c r="D578" s="42"/>
      <c r="E578" s="42"/>
      <c r="F578" s="45"/>
      <c r="G578" s="42"/>
      <c r="H578" s="45"/>
      <c r="I578" s="42"/>
      <c r="J578" s="45"/>
      <c r="K578" s="42"/>
      <c r="L578" s="45"/>
      <c r="M578" s="42"/>
      <c r="N578" s="45"/>
      <c r="O578" s="42"/>
      <c r="P578" s="45"/>
      <c r="Q578" s="42"/>
      <c r="R578" s="45"/>
    </row>
    <row r="579" spans="1:18" x14ac:dyDescent="0.2">
      <c r="A579" s="42"/>
      <c r="B579" s="42"/>
      <c r="C579" s="42"/>
      <c r="D579" s="42"/>
      <c r="E579" s="42" t="s">
        <v>243</v>
      </c>
      <c r="F579" s="45">
        <v>161000</v>
      </c>
      <c r="G579" s="42"/>
      <c r="H579" s="45">
        <v>0</v>
      </c>
      <c r="I579" s="42"/>
      <c r="J579" s="45">
        <v>135000</v>
      </c>
      <c r="K579" s="42"/>
      <c r="L579" s="45">
        <v>26000</v>
      </c>
      <c r="M579" s="42"/>
      <c r="N579" s="45">
        <v>70000</v>
      </c>
      <c r="O579" s="42"/>
      <c r="P579" s="45">
        <v>91000</v>
      </c>
      <c r="Q579" s="42"/>
      <c r="R579" s="45">
        <v>0</v>
      </c>
    </row>
    <row r="580" spans="1:18" x14ac:dyDescent="0.2">
      <c r="A580" s="42"/>
      <c r="B580" s="42"/>
      <c r="C580" s="42" t="s">
        <v>244</v>
      </c>
      <c r="D580" s="42"/>
      <c r="E580" s="42"/>
      <c r="F580" s="45">
        <v>1547000</v>
      </c>
      <c r="G580" s="42"/>
      <c r="H580" s="45">
        <v>712000</v>
      </c>
      <c r="I580" s="42"/>
      <c r="J580" s="45">
        <v>648000</v>
      </c>
      <c r="K580" s="42"/>
      <c r="L580" s="45">
        <v>187000</v>
      </c>
      <c r="M580" s="42"/>
      <c r="N580" s="45">
        <v>1464000</v>
      </c>
      <c r="O580" s="42"/>
      <c r="P580" s="45">
        <v>83000</v>
      </c>
      <c r="Q580" s="42"/>
      <c r="R580" s="45">
        <v>0</v>
      </c>
    </row>
    <row r="581" spans="1:18" x14ac:dyDescent="0.2">
      <c r="A581" s="42"/>
      <c r="B581" s="42"/>
      <c r="C581" s="42" t="s">
        <v>245</v>
      </c>
      <c r="D581" s="42"/>
      <c r="E581" s="42"/>
      <c r="F581" s="43">
        <v>0</v>
      </c>
      <c r="G581" s="42"/>
      <c r="H581" s="43">
        <v>-325272000</v>
      </c>
      <c r="I581" s="42"/>
      <c r="J581" s="43">
        <v>325272000</v>
      </c>
      <c r="K581" s="42"/>
      <c r="L581" s="43">
        <v>0</v>
      </c>
      <c r="M581" s="42"/>
      <c r="N581" s="43">
        <v>0</v>
      </c>
      <c r="O581" s="42"/>
      <c r="P581" s="43">
        <v>0</v>
      </c>
      <c r="Q581" s="42"/>
      <c r="R581" s="43">
        <v>0</v>
      </c>
    </row>
    <row r="582" spans="1:18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</row>
    <row r="583" spans="1:18" x14ac:dyDescent="0.2">
      <c r="A583" s="42"/>
      <c r="B583" s="42"/>
      <c r="C583" s="42"/>
      <c r="D583" s="42"/>
      <c r="E583" s="42" t="s">
        <v>3</v>
      </c>
      <c r="F583" s="43">
        <v>5707000</v>
      </c>
      <c r="G583" s="42"/>
      <c r="H583" s="43">
        <v>-261735000</v>
      </c>
      <c r="I583" s="42"/>
      <c r="J583" s="43">
        <v>244413000</v>
      </c>
      <c r="K583" s="42"/>
      <c r="L583" s="43">
        <v>23029000</v>
      </c>
      <c r="M583" s="42"/>
      <c r="N583" s="43">
        <v>5611000</v>
      </c>
      <c r="O583" s="42"/>
      <c r="P583" s="43">
        <v>85000</v>
      </c>
      <c r="Q583" s="42"/>
      <c r="R583" s="43">
        <v>-11000</v>
      </c>
    </row>
    <row r="584" spans="1:18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</row>
    <row r="585" spans="1:18" x14ac:dyDescent="0.2">
      <c r="A585" s="42"/>
      <c r="B585" s="42" t="s">
        <v>24</v>
      </c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</row>
    <row r="586" spans="1:18" x14ac:dyDescent="0.2">
      <c r="A586" s="42"/>
      <c r="B586" s="42"/>
      <c r="C586" s="42" t="s">
        <v>246</v>
      </c>
      <c r="D586" s="42"/>
      <c r="E586" s="42"/>
      <c r="F586" s="45">
        <v>0</v>
      </c>
      <c r="G586" s="42"/>
      <c r="H586" s="45">
        <v>0</v>
      </c>
      <c r="I586" s="42"/>
      <c r="J586" s="45">
        <v>0</v>
      </c>
      <c r="K586" s="42"/>
      <c r="L586" s="45">
        <v>0</v>
      </c>
      <c r="M586" s="42"/>
      <c r="N586" s="45">
        <v>0</v>
      </c>
      <c r="O586" s="42"/>
      <c r="P586" s="45">
        <v>0</v>
      </c>
      <c r="Q586" s="42"/>
      <c r="R586" s="45">
        <v>0</v>
      </c>
    </row>
    <row r="587" spans="1:18" x14ac:dyDescent="0.2">
      <c r="A587" s="42"/>
      <c r="B587" s="42"/>
      <c r="C587" s="42" t="s">
        <v>210</v>
      </c>
      <c r="D587" s="42"/>
      <c r="E587" s="42"/>
      <c r="F587" s="45">
        <v>522000</v>
      </c>
      <c r="G587" s="42"/>
      <c r="H587" s="45">
        <v>183000</v>
      </c>
      <c r="I587" s="42"/>
      <c r="J587" s="45">
        <v>6000</v>
      </c>
      <c r="K587" s="42"/>
      <c r="L587" s="45">
        <v>333000</v>
      </c>
      <c r="M587" s="42"/>
      <c r="N587" s="45">
        <v>279000</v>
      </c>
      <c r="O587" s="42"/>
      <c r="P587" s="45">
        <v>243000</v>
      </c>
      <c r="Q587" s="42"/>
      <c r="R587" s="45">
        <v>0</v>
      </c>
    </row>
    <row r="588" spans="1:18" x14ac:dyDescent="0.2">
      <c r="A588" s="42"/>
      <c r="B588" s="42"/>
      <c r="C588" s="42" t="s">
        <v>247</v>
      </c>
      <c r="D588" s="42"/>
      <c r="E588" s="42"/>
      <c r="F588" s="45">
        <v>152000</v>
      </c>
      <c r="G588" s="42"/>
      <c r="H588" s="45">
        <v>106000</v>
      </c>
      <c r="I588" s="42"/>
      <c r="J588" s="45">
        <v>9000</v>
      </c>
      <c r="K588" s="42"/>
      <c r="L588" s="45">
        <v>37000</v>
      </c>
      <c r="M588" s="42"/>
      <c r="N588" s="45">
        <v>79000</v>
      </c>
      <c r="O588" s="42"/>
      <c r="P588" s="45">
        <v>73000</v>
      </c>
      <c r="Q588" s="42"/>
      <c r="R588" s="45">
        <v>0</v>
      </c>
    </row>
    <row r="589" spans="1:18" x14ac:dyDescent="0.2">
      <c r="A589" s="42"/>
      <c r="B589" s="42"/>
      <c r="C589" s="42" t="s">
        <v>248</v>
      </c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</row>
    <row r="590" spans="1:18" x14ac:dyDescent="0.2">
      <c r="A590" s="42"/>
      <c r="B590" s="42"/>
      <c r="C590" s="42"/>
      <c r="D590" s="42"/>
      <c r="E590" s="42" t="s">
        <v>249</v>
      </c>
      <c r="F590" s="45">
        <v>36000</v>
      </c>
      <c r="G590" s="42"/>
      <c r="H590" s="45">
        <v>36000</v>
      </c>
      <c r="I590" s="42"/>
      <c r="J590" s="45">
        <v>0</v>
      </c>
      <c r="K590" s="42"/>
      <c r="L590" s="45">
        <v>0</v>
      </c>
      <c r="M590" s="42"/>
      <c r="N590" s="45">
        <v>26000</v>
      </c>
      <c r="O590" s="42"/>
      <c r="P590" s="45">
        <v>10000</v>
      </c>
      <c r="Q590" s="42"/>
      <c r="R590" s="45">
        <v>0</v>
      </c>
    </row>
    <row r="591" spans="1:18" x14ac:dyDescent="0.2">
      <c r="A591" s="42"/>
      <c r="B591" s="42"/>
      <c r="C591" s="42" t="s">
        <v>211</v>
      </c>
      <c r="D591" s="42"/>
      <c r="E591" s="42"/>
      <c r="F591" s="45">
        <v>4532000</v>
      </c>
      <c r="G591" s="42"/>
      <c r="H591" s="45">
        <v>545000</v>
      </c>
      <c r="I591" s="42"/>
      <c r="J591" s="45">
        <v>-2000</v>
      </c>
      <c r="K591" s="42"/>
      <c r="L591" s="45">
        <v>3989000</v>
      </c>
      <c r="M591" s="42"/>
      <c r="N591" s="45">
        <v>2561000</v>
      </c>
      <c r="O591" s="42"/>
      <c r="P591" s="45">
        <v>2071000</v>
      </c>
      <c r="Q591" s="42"/>
      <c r="R591" s="45">
        <v>100000</v>
      </c>
    </row>
    <row r="592" spans="1:18" x14ac:dyDescent="0.2">
      <c r="A592" s="42"/>
      <c r="B592" s="42"/>
      <c r="C592" s="42" t="s">
        <v>250</v>
      </c>
      <c r="D592" s="42"/>
      <c r="E592" s="42"/>
      <c r="F592" s="45">
        <v>761000</v>
      </c>
      <c r="G592" s="42"/>
      <c r="H592" s="45">
        <v>3000</v>
      </c>
      <c r="I592" s="42"/>
      <c r="J592" s="45">
        <v>389000</v>
      </c>
      <c r="K592" s="42"/>
      <c r="L592" s="45">
        <v>369000</v>
      </c>
      <c r="M592" s="42"/>
      <c r="N592" s="45">
        <v>356000</v>
      </c>
      <c r="O592" s="42"/>
      <c r="P592" s="45">
        <v>405000</v>
      </c>
      <c r="Q592" s="42"/>
      <c r="R592" s="45">
        <v>0</v>
      </c>
    </row>
    <row r="593" spans="1:18" x14ac:dyDescent="0.2">
      <c r="A593" s="42"/>
      <c r="B593" s="42"/>
      <c r="C593" s="42" t="s">
        <v>251</v>
      </c>
      <c r="D593" s="42"/>
      <c r="E593" s="42"/>
      <c r="F593" s="45">
        <v>159000</v>
      </c>
      <c r="G593" s="42"/>
      <c r="H593" s="45">
        <v>135000</v>
      </c>
      <c r="I593" s="42"/>
      <c r="J593" s="45">
        <v>25000</v>
      </c>
      <c r="K593" s="42"/>
      <c r="L593" s="45">
        <v>-1000</v>
      </c>
      <c r="M593" s="42"/>
      <c r="N593" s="45">
        <v>114000</v>
      </c>
      <c r="O593" s="42"/>
      <c r="P593" s="45">
        <v>48000</v>
      </c>
      <c r="Q593" s="42"/>
      <c r="R593" s="45">
        <v>3000</v>
      </c>
    </row>
    <row r="594" spans="1:18" x14ac:dyDescent="0.2">
      <c r="A594" s="42"/>
      <c r="B594" s="42"/>
      <c r="C594" s="42" t="s">
        <v>252</v>
      </c>
      <c r="D594" s="42"/>
      <c r="E594" s="42"/>
      <c r="F594" s="45">
        <v>201000</v>
      </c>
      <c r="G594" s="42"/>
      <c r="H594" s="45">
        <v>110000</v>
      </c>
      <c r="I594" s="42"/>
      <c r="J594" s="45">
        <v>1000</v>
      </c>
      <c r="K594" s="42"/>
      <c r="L594" s="45">
        <v>90000</v>
      </c>
      <c r="M594" s="42"/>
      <c r="N594" s="45">
        <v>82000</v>
      </c>
      <c r="O594" s="42"/>
      <c r="P594" s="45">
        <v>142000</v>
      </c>
      <c r="Q594" s="42"/>
      <c r="R594" s="45">
        <v>23000</v>
      </c>
    </row>
    <row r="595" spans="1:18" x14ac:dyDescent="0.2">
      <c r="A595" s="42"/>
      <c r="B595" s="42"/>
      <c r="C595" s="42" t="s">
        <v>253</v>
      </c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</row>
    <row r="596" spans="1:18" x14ac:dyDescent="0.2">
      <c r="A596" s="42"/>
      <c r="B596" s="42"/>
      <c r="C596" s="42"/>
      <c r="D596" s="42"/>
      <c r="E596" s="42" t="s">
        <v>254</v>
      </c>
      <c r="F596" s="45">
        <v>4822000</v>
      </c>
      <c r="G596" s="42"/>
      <c r="H596" s="45">
        <v>80000</v>
      </c>
      <c r="I596" s="42"/>
      <c r="J596" s="45">
        <v>976000</v>
      </c>
      <c r="K596" s="42"/>
      <c r="L596" s="45">
        <v>3766000</v>
      </c>
      <c r="M596" s="42"/>
      <c r="N596" s="45">
        <v>1201000</v>
      </c>
      <c r="O596" s="42"/>
      <c r="P596" s="45">
        <v>3621000</v>
      </c>
      <c r="Q596" s="42"/>
      <c r="R596" s="45">
        <v>0</v>
      </c>
    </row>
    <row r="597" spans="1:18" x14ac:dyDescent="0.2">
      <c r="A597" s="42"/>
      <c r="B597" s="42"/>
      <c r="C597" s="42" t="s">
        <v>213</v>
      </c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</row>
    <row r="598" spans="1:18" x14ac:dyDescent="0.2">
      <c r="A598" s="42"/>
      <c r="B598" s="42"/>
      <c r="C598" s="42"/>
      <c r="D598" s="42"/>
      <c r="E598" s="42" t="s">
        <v>214</v>
      </c>
      <c r="F598" s="45">
        <v>32114000</v>
      </c>
      <c r="G598" s="42"/>
      <c r="H598" s="45">
        <v>1737000</v>
      </c>
      <c r="I598" s="42"/>
      <c r="J598" s="45">
        <v>2057000</v>
      </c>
      <c r="K598" s="42"/>
      <c r="L598" s="45">
        <v>28320000</v>
      </c>
      <c r="M598" s="42"/>
      <c r="N598" s="45">
        <v>14524000</v>
      </c>
      <c r="O598" s="42"/>
      <c r="P598" s="45">
        <v>17707000</v>
      </c>
      <c r="Q598" s="42"/>
      <c r="R598" s="45">
        <v>117000</v>
      </c>
    </row>
    <row r="599" spans="1:18" x14ac:dyDescent="0.2">
      <c r="A599" s="42"/>
      <c r="B599" s="42"/>
      <c r="C599" s="42" t="s">
        <v>215</v>
      </c>
      <c r="D599" s="42"/>
      <c r="E599" s="42"/>
      <c r="F599" s="45">
        <v>1105000</v>
      </c>
      <c r="G599" s="42"/>
      <c r="H599" s="45">
        <v>493000</v>
      </c>
      <c r="I599" s="42"/>
      <c r="J599" s="45">
        <v>184000</v>
      </c>
      <c r="K599" s="42"/>
      <c r="L599" s="45">
        <v>428000</v>
      </c>
      <c r="M599" s="42"/>
      <c r="N599" s="45">
        <v>836000</v>
      </c>
      <c r="O599" s="42"/>
      <c r="P599" s="45">
        <v>1069000</v>
      </c>
      <c r="Q599" s="42"/>
      <c r="R599" s="45">
        <v>800000</v>
      </c>
    </row>
    <row r="600" spans="1:18" x14ac:dyDescent="0.2">
      <c r="A600" s="42"/>
      <c r="B600" s="42"/>
      <c r="C600" s="42" t="s">
        <v>255</v>
      </c>
      <c r="D600" s="42"/>
      <c r="E600" s="42"/>
      <c r="F600" s="45">
        <v>66000</v>
      </c>
      <c r="G600" s="42"/>
      <c r="H600" s="45">
        <v>0</v>
      </c>
      <c r="I600" s="42"/>
      <c r="J600" s="45">
        <v>66000</v>
      </c>
      <c r="K600" s="42"/>
      <c r="L600" s="45">
        <v>0</v>
      </c>
      <c r="M600" s="42"/>
      <c r="N600" s="45">
        <v>49000</v>
      </c>
      <c r="O600" s="42"/>
      <c r="P600" s="45">
        <v>17000</v>
      </c>
      <c r="Q600" s="42"/>
      <c r="R600" s="45">
        <v>0</v>
      </c>
    </row>
    <row r="601" spans="1:18" x14ac:dyDescent="0.2">
      <c r="A601" s="42"/>
      <c r="B601" s="42"/>
      <c r="C601" s="42" t="s">
        <v>256</v>
      </c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</row>
    <row r="602" spans="1:18" x14ac:dyDescent="0.2">
      <c r="A602" s="42"/>
      <c r="B602" s="42"/>
      <c r="C602" s="42"/>
      <c r="D602" s="42"/>
      <c r="E602" s="42" t="s">
        <v>51</v>
      </c>
      <c r="F602" s="45">
        <v>4784000</v>
      </c>
      <c r="G602" s="42"/>
      <c r="H602" s="45">
        <v>83000</v>
      </c>
      <c r="I602" s="42"/>
      <c r="J602" s="45">
        <v>202000</v>
      </c>
      <c r="K602" s="42"/>
      <c r="L602" s="45">
        <v>4499000</v>
      </c>
      <c r="M602" s="42"/>
      <c r="N602" s="45">
        <v>1548000</v>
      </c>
      <c r="O602" s="42"/>
      <c r="P602" s="45">
        <v>3248000</v>
      </c>
      <c r="Q602" s="42"/>
      <c r="R602" s="45">
        <v>12000</v>
      </c>
    </row>
    <row r="603" spans="1:18" x14ac:dyDescent="0.2">
      <c r="A603" s="42"/>
      <c r="B603" s="42"/>
      <c r="C603" s="42" t="s">
        <v>257</v>
      </c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</row>
    <row r="604" spans="1:18" x14ac:dyDescent="0.2">
      <c r="A604" s="42"/>
      <c r="B604" s="42"/>
      <c r="C604" s="42"/>
      <c r="D604" s="42"/>
      <c r="E604" s="42" t="s">
        <v>258</v>
      </c>
      <c r="F604" s="45">
        <v>4229000</v>
      </c>
      <c r="G604" s="42"/>
      <c r="H604" s="45">
        <v>1794000</v>
      </c>
      <c r="I604" s="42"/>
      <c r="J604" s="45">
        <v>1536000</v>
      </c>
      <c r="K604" s="42"/>
      <c r="L604" s="45">
        <v>899000</v>
      </c>
      <c r="M604" s="42"/>
      <c r="N604" s="45">
        <v>2484000</v>
      </c>
      <c r="O604" s="42"/>
      <c r="P604" s="45">
        <v>1745000</v>
      </c>
      <c r="Q604" s="42"/>
      <c r="R604" s="45">
        <v>0</v>
      </c>
    </row>
    <row r="605" spans="1:18" x14ac:dyDescent="0.2">
      <c r="A605" s="42"/>
      <c r="B605" s="42"/>
      <c r="C605" s="42" t="s">
        <v>259</v>
      </c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</row>
    <row r="606" spans="1:18" x14ac:dyDescent="0.2">
      <c r="A606" s="42"/>
      <c r="B606" s="42"/>
      <c r="C606" s="42"/>
      <c r="D606" s="42"/>
      <c r="E606" s="42" t="s">
        <v>260</v>
      </c>
      <c r="F606" s="45">
        <v>344000</v>
      </c>
      <c r="G606" s="42"/>
      <c r="H606" s="45">
        <v>107000</v>
      </c>
      <c r="I606" s="42"/>
      <c r="J606" s="45">
        <v>24000</v>
      </c>
      <c r="K606" s="42"/>
      <c r="L606" s="45">
        <v>213000</v>
      </c>
      <c r="M606" s="42"/>
      <c r="N606" s="45">
        <v>238000</v>
      </c>
      <c r="O606" s="42"/>
      <c r="P606" s="45">
        <v>106000</v>
      </c>
      <c r="Q606" s="42"/>
      <c r="R606" s="45">
        <v>0</v>
      </c>
    </row>
    <row r="607" spans="1:18" x14ac:dyDescent="0.2">
      <c r="A607" s="42"/>
      <c r="B607" s="42"/>
      <c r="C607" s="42" t="s">
        <v>261</v>
      </c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</row>
    <row r="608" spans="1:18" x14ac:dyDescent="0.2">
      <c r="A608" s="42"/>
      <c r="B608" s="42"/>
      <c r="C608" s="42"/>
      <c r="D608" s="42"/>
      <c r="E608" s="42" t="s">
        <v>262</v>
      </c>
      <c r="F608" s="45">
        <v>3138000</v>
      </c>
      <c r="G608" s="42"/>
      <c r="H608" s="45">
        <v>0</v>
      </c>
      <c r="I608" s="42"/>
      <c r="J608" s="45">
        <v>3000</v>
      </c>
      <c r="K608" s="42"/>
      <c r="L608" s="45">
        <v>3135000</v>
      </c>
      <c r="M608" s="42"/>
      <c r="N608" s="45">
        <v>1921000</v>
      </c>
      <c r="O608" s="42"/>
      <c r="P608" s="45">
        <v>1217000</v>
      </c>
      <c r="Q608" s="42"/>
      <c r="R608" s="45">
        <v>0</v>
      </c>
    </row>
    <row r="609" spans="1:18" x14ac:dyDescent="0.2">
      <c r="A609" s="42"/>
      <c r="B609" s="42"/>
      <c r="C609" s="42" t="s">
        <v>263</v>
      </c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</row>
    <row r="610" spans="1:18" x14ac:dyDescent="0.2">
      <c r="A610" s="42"/>
      <c r="B610" s="42"/>
      <c r="C610" s="42"/>
      <c r="D610" s="42"/>
      <c r="E610" s="42" t="s">
        <v>264</v>
      </c>
      <c r="F610" s="45">
        <v>721000</v>
      </c>
      <c r="G610" s="42"/>
      <c r="H610" s="45">
        <v>388000</v>
      </c>
      <c r="I610" s="42"/>
      <c r="J610" s="45">
        <v>182000</v>
      </c>
      <c r="K610" s="42"/>
      <c r="L610" s="45">
        <v>151000</v>
      </c>
      <c r="M610" s="42"/>
      <c r="N610" s="45">
        <v>425000</v>
      </c>
      <c r="O610" s="42"/>
      <c r="P610" s="45">
        <v>391000</v>
      </c>
      <c r="Q610" s="42"/>
      <c r="R610" s="45">
        <v>95000</v>
      </c>
    </row>
    <row r="611" spans="1:18" x14ac:dyDescent="0.2">
      <c r="A611" s="42"/>
      <c r="B611" s="42"/>
      <c r="C611" s="42" t="s">
        <v>265</v>
      </c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</row>
    <row r="612" spans="1:18" x14ac:dyDescent="0.2">
      <c r="A612" s="42"/>
      <c r="B612" s="42"/>
      <c r="C612" s="42"/>
      <c r="D612" s="42"/>
      <c r="E612" s="42" t="s">
        <v>266</v>
      </c>
      <c r="F612" s="45">
        <v>418000</v>
      </c>
      <c r="G612" s="42"/>
      <c r="H612" s="45">
        <v>4000</v>
      </c>
      <c r="I612" s="42"/>
      <c r="J612" s="45">
        <v>276000</v>
      </c>
      <c r="K612" s="42"/>
      <c r="L612" s="45">
        <v>138000</v>
      </c>
      <c r="M612" s="42"/>
      <c r="N612" s="45">
        <v>136000</v>
      </c>
      <c r="O612" s="42"/>
      <c r="P612" s="45">
        <v>282000</v>
      </c>
      <c r="Q612" s="42"/>
      <c r="R612" s="45">
        <v>0</v>
      </c>
    </row>
    <row r="613" spans="1:18" x14ac:dyDescent="0.2">
      <c r="A613" s="42"/>
      <c r="B613" s="42"/>
      <c r="C613" s="42" t="s">
        <v>267</v>
      </c>
      <c r="D613" s="42"/>
      <c r="E613" s="42"/>
      <c r="F613" s="45">
        <v>15000</v>
      </c>
      <c r="G613" s="42"/>
      <c r="H613" s="45">
        <v>15000</v>
      </c>
      <c r="I613" s="42"/>
      <c r="J613" s="45">
        <v>0</v>
      </c>
      <c r="K613" s="42"/>
      <c r="L613" s="45">
        <v>0</v>
      </c>
      <c r="M613" s="42"/>
      <c r="N613" s="45">
        <v>11000</v>
      </c>
      <c r="O613" s="42"/>
      <c r="P613" s="45">
        <v>4000</v>
      </c>
      <c r="Q613" s="42"/>
      <c r="R613" s="45">
        <v>0</v>
      </c>
    </row>
    <row r="614" spans="1:18" x14ac:dyDescent="0.2">
      <c r="A614" s="42"/>
      <c r="B614" s="42"/>
      <c r="C614" s="42" t="s">
        <v>268</v>
      </c>
      <c r="D614" s="42"/>
      <c r="E614" s="42"/>
      <c r="F614" s="45">
        <v>0</v>
      </c>
      <c r="G614" s="42"/>
      <c r="H614" s="45">
        <v>0</v>
      </c>
      <c r="I614" s="42"/>
      <c r="J614" s="45">
        <v>0</v>
      </c>
      <c r="K614" s="42"/>
      <c r="L614" s="45">
        <v>0</v>
      </c>
      <c r="M614" s="42"/>
      <c r="N614" s="45">
        <v>0</v>
      </c>
      <c r="O614" s="42"/>
      <c r="P614" s="45">
        <v>0</v>
      </c>
      <c r="Q614" s="42"/>
      <c r="R614" s="45">
        <v>0</v>
      </c>
    </row>
    <row r="615" spans="1:18" x14ac:dyDescent="0.2">
      <c r="A615" s="42"/>
      <c r="B615" s="42"/>
      <c r="C615" s="42" t="s">
        <v>269</v>
      </c>
      <c r="D615" s="42"/>
      <c r="E615" s="42"/>
      <c r="F615" s="45">
        <v>5403000</v>
      </c>
      <c r="G615" s="42"/>
      <c r="H615" s="45">
        <v>32000</v>
      </c>
      <c r="I615" s="42"/>
      <c r="J615" s="45">
        <v>348000</v>
      </c>
      <c r="K615" s="42"/>
      <c r="L615" s="45">
        <v>5023000</v>
      </c>
      <c r="M615" s="42"/>
      <c r="N615" s="45">
        <v>1830000</v>
      </c>
      <c r="O615" s="42"/>
      <c r="P615" s="45">
        <v>3573000</v>
      </c>
      <c r="Q615" s="42"/>
      <c r="R615" s="45">
        <v>0</v>
      </c>
    </row>
    <row r="616" spans="1:18" x14ac:dyDescent="0.2">
      <c r="A616" s="42"/>
      <c r="B616" s="42"/>
      <c r="C616" s="42" t="s">
        <v>270</v>
      </c>
      <c r="D616" s="42"/>
      <c r="E616" s="42"/>
      <c r="F616" s="45">
        <v>2937000</v>
      </c>
      <c r="G616" s="42"/>
      <c r="H616" s="45">
        <v>0</v>
      </c>
      <c r="I616" s="42"/>
      <c r="J616" s="45">
        <v>7000</v>
      </c>
      <c r="K616" s="42"/>
      <c r="L616" s="45">
        <v>2930000</v>
      </c>
      <c r="M616" s="42"/>
      <c r="N616" s="45">
        <v>1600000</v>
      </c>
      <c r="O616" s="42"/>
      <c r="P616" s="45">
        <v>1337000</v>
      </c>
      <c r="Q616" s="42"/>
      <c r="R616" s="45">
        <v>0</v>
      </c>
    </row>
    <row r="617" spans="1:18" x14ac:dyDescent="0.2">
      <c r="A617" s="42"/>
      <c r="B617" s="42"/>
      <c r="C617" s="42" t="s">
        <v>271</v>
      </c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</row>
    <row r="618" spans="1:18" x14ac:dyDescent="0.2">
      <c r="A618" s="42"/>
      <c r="B618" s="42"/>
      <c r="C618" s="42" t="s">
        <v>272</v>
      </c>
      <c r="D618" s="42"/>
      <c r="E618" s="42" t="s">
        <v>273</v>
      </c>
      <c r="F618" s="45">
        <v>10000</v>
      </c>
      <c r="G618" s="42"/>
      <c r="H618" s="45">
        <v>0</v>
      </c>
      <c r="I618" s="42"/>
      <c r="J618" s="45">
        <v>0</v>
      </c>
      <c r="K618" s="42"/>
      <c r="L618" s="45">
        <v>10000</v>
      </c>
      <c r="M618" s="42"/>
      <c r="N618" s="45">
        <v>7000</v>
      </c>
      <c r="O618" s="42"/>
      <c r="P618" s="45">
        <v>3000</v>
      </c>
      <c r="Q618" s="42"/>
      <c r="R618" s="45">
        <v>0</v>
      </c>
    </row>
    <row r="619" spans="1:18" x14ac:dyDescent="0.2">
      <c r="A619" s="42"/>
      <c r="B619" s="42"/>
      <c r="C619" s="42" t="s">
        <v>274</v>
      </c>
      <c r="D619" s="42"/>
      <c r="E619" s="42"/>
      <c r="F619" s="45">
        <v>247000</v>
      </c>
      <c r="G619" s="42"/>
      <c r="H619" s="45">
        <v>0</v>
      </c>
      <c r="I619" s="42"/>
      <c r="J619" s="45">
        <v>3000</v>
      </c>
      <c r="K619" s="42"/>
      <c r="L619" s="45">
        <v>244000</v>
      </c>
      <c r="M619" s="42"/>
      <c r="N619" s="45">
        <v>20000</v>
      </c>
      <c r="O619" s="42"/>
      <c r="P619" s="45">
        <v>227000</v>
      </c>
      <c r="Q619" s="42"/>
      <c r="R619" s="45">
        <v>0</v>
      </c>
    </row>
    <row r="620" spans="1:18" x14ac:dyDescent="0.2">
      <c r="A620" s="42"/>
      <c r="B620" s="42"/>
      <c r="C620" s="42" t="s">
        <v>275</v>
      </c>
      <c r="D620" s="42"/>
      <c r="E620" s="42"/>
      <c r="F620" s="45">
        <v>1790000</v>
      </c>
      <c r="G620" s="42"/>
      <c r="H620" s="45">
        <v>895000</v>
      </c>
      <c r="I620" s="42"/>
      <c r="J620" s="45">
        <v>60000</v>
      </c>
      <c r="K620" s="42"/>
      <c r="L620" s="45">
        <v>835000</v>
      </c>
      <c r="M620" s="42"/>
      <c r="N620" s="45">
        <v>758000</v>
      </c>
      <c r="O620" s="42"/>
      <c r="P620" s="45">
        <v>1265000</v>
      </c>
      <c r="Q620" s="42"/>
      <c r="R620" s="45">
        <v>233000</v>
      </c>
    </row>
    <row r="621" spans="1:18" x14ac:dyDescent="0.2">
      <c r="A621" s="42"/>
      <c r="B621" s="42"/>
      <c r="C621" s="42" t="s">
        <v>276</v>
      </c>
      <c r="D621" s="42"/>
      <c r="E621" s="42"/>
      <c r="F621" s="45">
        <v>75000</v>
      </c>
      <c r="G621" s="42"/>
      <c r="H621" s="45">
        <v>0</v>
      </c>
      <c r="I621" s="42"/>
      <c r="J621" s="45">
        <v>24000</v>
      </c>
      <c r="K621" s="42"/>
      <c r="L621" s="45">
        <v>51000</v>
      </c>
      <c r="M621" s="42"/>
      <c r="N621" s="45">
        <v>16000</v>
      </c>
      <c r="O621" s="42"/>
      <c r="P621" s="45">
        <v>59000</v>
      </c>
      <c r="Q621" s="42"/>
      <c r="R621" s="45">
        <v>0</v>
      </c>
    </row>
    <row r="622" spans="1:18" x14ac:dyDescent="0.2">
      <c r="A622" s="42"/>
      <c r="B622" s="42"/>
      <c r="C622" s="42" t="s">
        <v>277</v>
      </c>
      <c r="D622" s="42"/>
      <c r="E622" s="42"/>
      <c r="F622" s="45">
        <v>218000</v>
      </c>
      <c r="G622" s="42"/>
      <c r="H622" s="45">
        <v>0</v>
      </c>
      <c r="I622" s="42"/>
      <c r="J622" s="45">
        <v>3000</v>
      </c>
      <c r="K622" s="42"/>
      <c r="L622" s="45">
        <v>215000</v>
      </c>
      <c r="M622" s="42"/>
      <c r="N622" s="45">
        <v>139000</v>
      </c>
      <c r="O622" s="42"/>
      <c r="P622" s="45">
        <v>79000</v>
      </c>
      <c r="Q622" s="42"/>
      <c r="R622" s="45">
        <v>0</v>
      </c>
    </row>
    <row r="623" spans="1:18" x14ac:dyDescent="0.2">
      <c r="A623" s="42"/>
      <c r="B623" s="42"/>
      <c r="C623" s="42" t="s">
        <v>278</v>
      </c>
      <c r="D623" s="42"/>
      <c r="E623" s="42"/>
      <c r="F623" s="45">
        <v>1867000</v>
      </c>
      <c r="G623" s="42"/>
      <c r="H623" s="45">
        <v>25000</v>
      </c>
      <c r="I623" s="42"/>
      <c r="J623" s="45">
        <v>624000</v>
      </c>
      <c r="K623" s="42"/>
      <c r="L623" s="45">
        <v>1218000</v>
      </c>
      <c r="M623" s="42"/>
      <c r="N623" s="45">
        <v>846000</v>
      </c>
      <c r="O623" s="42"/>
      <c r="P623" s="45">
        <v>1021000</v>
      </c>
      <c r="Q623" s="42"/>
      <c r="R623" s="45">
        <v>0</v>
      </c>
    </row>
    <row r="624" spans="1:18" x14ac:dyDescent="0.2">
      <c r="A624" s="42"/>
      <c r="B624" s="42"/>
      <c r="C624" s="42" t="s">
        <v>218</v>
      </c>
      <c r="D624" s="42"/>
      <c r="E624" s="42"/>
      <c r="F624" s="45">
        <v>2330000</v>
      </c>
      <c r="G624" s="42"/>
      <c r="H624" s="45">
        <v>102000</v>
      </c>
      <c r="I624" s="42"/>
      <c r="J624" s="45">
        <v>27000</v>
      </c>
      <c r="K624" s="42"/>
      <c r="L624" s="45">
        <v>2201000</v>
      </c>
      <c r="M624" s="42"/>
      <c r="N624" s="45">
        <v>1012000</v>
      </c>
      <c r="O624" s="42"/>
      <c r="P624" s="45">
        <v>1318000</v>
      </c>
      <c r="Q624" s="42"/>
      <c r="R624" s="45">
        <v>0</v>
      </c>
    </row>
    <row r="625" spans="1:18" x14ac:dyDescent="0.2">
      <c r="A625" s="42"/>
      <c r="B625" s="42"/>
      <c r="C625" s="42" t="s">
        <v>279</v>
      </c>
      <c r="D625" s="42"/>
      <c r="E625" s="42"/>
      <c r="F625" s="45">
        <v>4003000</v>
      </c>
      <c r="G625" s="42"/>
      <c r="H625" s="45">
        <v>8000</v>
      </c>
      <c r="I625" s="42"/>
      <c r="J625" s="45">
        <v>24000</v>
      </c>
      <c r="K625" s="42"/>
      <c r="L625" s="45">
        <v>3971000</v>
      </c>
      <c r="M625" s="42"/>
      <c r="N625" s="45">
        <v>1509000</v>
      </c>
      <c r="O625" s="42"/>
      <c r="P625" s="45">
        <v>2496000</v>
      </c>
      <c r="Q625" s="42"/>
      <c r="R625" s="45">
        <v>2000</v>
      </c>
    </row>
    <row r="626" spans="1:18" x14ac:dyDescent="0.2">
      <c r="A626" s="42"/>
      <c r="B626" s="42"/>
      <c r="C626" s="42" t="s">
        <v>219</v>
      </c>
      <c r="D626" s="42"/>
      <c r="E626" s="42"/>
      <c r="F626" s="45">
        <v>333000</v>
      </c>
      <c r="G626" s="42"/>
      <c r="H626" s="45">
        <v>0</v>
      </c>
      <c r="I626" s="42"/>
      <c r="J626" s="45">
        <v>79000</v>
      </c>
      <c r="K626" s="42"/>
      <c r="L626" s="45">
        <v>254000</v>
      </c>
      <c r="M626" s="42"/>
      <c r="N626" s="45">
        <v>162000</v>
      </c>
      <c r="O626" s="42"/>
      <c r="P626" s="45">
        <v>171000</v>
      </c>
      <c r="Q626" s="42"/>
      <c r="R626" s="45">
        <v>0</v>
      </c>
    </row>
    <row r="627" spans="1:18" x14ac:dyDescent="0.2">
      <c r="A627" s="42"/>
      <c r="B627" s="42"/>
      <c r="C627" s="42" t="s">
        <v>280</v>
      </c>
      <c r="D627" s="42"/>
      <c r="E627" s="42"/>
      <c r="F627" s="45">
        <v>175000</v>
      </c>
      <c r="G627" s="42"/>
      <c r="H627" s="45">
        <v>53000</v>
      </c>
      <c r="I627" s="42"/>
      <c r="J627" s="45">
        <v>122000</v>
      </c>
      <c r="K627" s="42"/>
      <c r="L627" s="45">
        <v>0</v>
      </c>
      <c r="M627" s="42"/>
      <c r="N627" s="45">
        <v>34000</v>
      </c>
      <c r="O627" s="42"/>
      <c r="P627" s="45">
        <v>141000</v>
      </c>
      <c r="Q627" s="42"/>
      <c r="R627" s="45">
        <v>0</v>
      </c>
    </row>
    <row r="628" spans="1:18" x14ac:dyDescent="0.2">
      <c r="A628" s="42"/>
      <c r="B628" s="42"/>
      <c r="C628" s="42" t="s">
        <v>281</v>
      </c>
      <c r="D628" s="42"/>
      <c r="E628" s="42"/>
      <c r="F628" s="45">
        <v>-59000</v>
      </c>
      <c r="G628" s="42"/>
      <c r="H628" s="45">
        <v>-231000</v>
      </c>
      <c r="I628" s="42"/>
      <c r="J628" s="45">
        <v>144000</v>
      </c>
      <c r="K628" s="42"/>
      <c r="L628" s="45">
        <v>28000</v>
      </c>
      <c r="M628" s="42"/>
      <c r="N628" s="45">
        <v>0</v>
      </c>
      <c r="O628" s="42"/>
      <c r="P628" s="45">
        <v>-59000</v>
      </c>
      <c r="Q628" s="42"/>
      <c r="R628" s="45">
        <v>0</v>
      </c>
    </row>
    <row r="629" spans="1:18" x14ac:dyDescent="0.2">
      <c r="A629" s="42"/>
      <c r="B629" s="42"/>
      <c r="C629" s="42" t="s">
        <v>282</v>
      </c>
      <c r="D629" s="42"/>
      <c r="E629" s="42"/>
      <c r="F629" s="45">
        <v>3403000</v>
      </c>
      <c r="G629" s="42"/>
      <c r="H629" s="45">
        <v>104000</v>
      </c>
      <c r="I629" s="42"/>
      <c r="J629" s="45">
        <v>469000</v>
      </c>
      <c r="K629" s="42"/>
      <c r="L629" s="45">
        <v>2830000</v>
      </c>
      <c r="M629" s="42"/>
      <c r="N629" s="45">
        <v>1334000</v>
      </c>
      <c r="O629" s="42"/>
      <c r="P629" s="45">
        <v>2086000</v>
      </c>
      <c r="Q629" s="42"/>
      <c r="R629" s="45">
        <v>17000</v>
      </c>
    </row>
    <row r="630" spans="1:18" x14ac:dyDescent="0.2">
      <c r="A630" s="42"/>
      <c r="B630" s="42"/>
      <c r="C630" s="42" t="s">
        <v>220</v>
      </c>
      <c r="D630" s="42"/>
      <c r="E630" s="42"/>
      <c r="F630" s="45">
        <v>8608000</v>
      </c>
      <c r="G630" s="42"/>
      <c r="H630" s="45">
        <v>27000</v>
      </c>
      <c r="I630" s="42"/>
      <c r="J630" s="45">
        <v>98000</v>
      </c>
      <c r="K630" s="42"/>
      <c r="L630" s="45">
        <v>8483000</v>
      </c>
      <c r="M630" s="42"/>
      <c r="N630" s="45">
        <v>4558000</v>
      </c>
      <c r="O630" s="42"/>
      <c r="P630" s="45">
        <v>4135000</v>
      </c>
      <c r="Q630" s="42"/>
      <c r="R630" s="45">
        <v>85000</v>
      </c>
    </row>
    <row r="631" spans="1:18" x14ac:dyDescent="0.2">
      <c r="A631" s="42"/>
      <c r="B631" s="42"/>
      <c r="C631" s="42" t="s">
        <v>221</v>
      </c>
      <c r="D631" s="42"/>
      <c r="E631" s="42"/>
      <c r="F631" s="45">
        <v>292000</v>
      </c>
      <c r="G631" s="42"/>
      <c r="H631" s="45">
        <v>96000</v>
      </c>
      <c r="I631" s="42"/>
      <c r="J631" s="45">
        <v>153000</v>
      </c>
      <c r="K631" s="42"/>
      <c r="L631" s="45">
        <v>43000</v>
      </c>
      <c r="M631" s="42"/>
      <c r="N631" s="45">
        <v>172000</v>
      </c>
      <c r="O631" s="42"/>
      <c r="P631" s="45">
        <v>122000</v>
      </c>
      <c r="Q631" s="42"/>
      <c r="R631" s="45">
        <v>2000</v>
      </c>
    </row>
    <row r="632" spans="1:18" x14ac:dyDescent="0.2">
      <c r="A632" s="42"/>
      <c r="B632" s="42"/>
      <c r="C632" s="42" t="s">
        <v>283</v>
      </c>
      <c r="D632" s="42"/>
      <c r="E632" s="42"/>
      <c r="F632" s="45">
        <v>309000</v>
      </c>
      <c r="G632" s="42"/>
      <c r="H632" s="45">
        <v>0</v>
      </c>
      <c r="I632" s="42"/>
      <c r="J632" s="45">
        <v>0</v>
      </c>
      <c r="K632" s="42"/>
      <c r="L632" s="45">
        <v>309000</v>
      </c>
      <c r="M632" s="42"/>
      <c r="N632" s="45">
        <v>150000</v>
      </c>
      <c r="O632" s="42"/>
      <c r="P632" s="45">
        <v>159000</v>
      </c>
      <c r="Q632" s="42"/>
      <c r="R632" s="45">
        <v>0</v>
      </c>
    </row>
    <row r="633" spans="1:18" x14ac:dyDescent="0.2">
      <c r="A633" s="42"/>
      <c r="B633" s="42"/>
      <c r="C633" s="42" t="s">
        <v>284</v>
      </c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</row>
    <row r="634" spans="1:18" x14ac:dyDescent="0.2">
      <c r="A634" s="42"/>
      <c r="B634" s="42"/>
      <c r="C634" s="42"/>
      <c r="D634" s="42"/>
      <c r="E634" s="42" t="s">
        <v>285</v>
      </c>
      <c r="F634" s="45">
        <v>738000</v>
      </c>
      <c r="G634" s="42"/>
      <c r="H634" s="45">
        <v>255000</v>
      </c>
      <c r="I634" s="42"/>
      <c r="J634" s="45">
        <v>434000</v>
      </c>
      <c r="K634" s="42"/>
      <c r="L634" s="45">
        <v>49000</v>
      </c>
      <c r="M634" s="42"/>
      <c r="N634" s="45">
        <v>380000</v>
      </c>
      <c r="O634" s="42"/>
      <c r="P634" s="45">
        <v>362000</v>
      </c>
      <c r="Q634" s="42"/>
      <c r="R634" s="45">
        <v>4000</v>
      </c>
    </row>
    <row r="635" spans="1:18" x14ac:dyDescent="0.2">
      <c r="A635" s="42"/>
      <c r="B635" s="42"/>
      <c r="C635" s="42" t="s">
        <v>222</v>
      </c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</row>
    <row r="636" spans="1:18" x14ac:dyDescent="0.2">
      <c r="A636" s="42"/>
      <c r="B636" s="42"/>
      <c r="C636" s="42"/>
      <c r="D636" s="42"/>
      <c r="E636" s="42" t="s">
        <v>223</v>
      </c>
      <c r="F636" s="45">
        <v>5078000</v>
      </c>
      <c r="G636" s="42"/>
      <c r="H636" s="45">
        <v>19000</v>
      </c>
      <c r="I636" s="42"/>
      <c r="J636" s="45">
        <v>254000</v>
      </c>
      <c r="K636" s="42"/>
      <c r="L636" s="45">
        <v>4805000</v>
      </c>
      <c r="M636" s="42"/>
      <c r="N636" s="45">
        <v>2335000</v>
      </c>
      <c r="O636" s="42"/>
      <c r="P636" s="45">
        <v>2743000</v>
      </c>
      <c r="Q636" s="42"/>
      <c r="R636" s="45">
        <v>0</v>
      </c>
    </row>
    <row r="637" spans="1:18" x14ac:dyDescent="0.2">
      <c r="A637" s="42"/>
      <c r="B637" s="42"/>
      <c r="C637" s="42" t="s">
        <v>224</v>
      </c>
      <c r="D637" s="42"/>
      <c r="E637" s="42"/>
      <c r="F637" s="45">
        <v>1104000</v>
      </c>
      <c r="G637" s="42"/>
      <c r="H637" s="45">
        <v>-21000</v>
      </c>
      <c r="I637" s="42"/>
      <c r="J637" s="45">
        <v>-8000</v>
      </c>
      <c r="K637" s="42"/>
      <c r="L637" s="45">
        <v>1133000</v>
      </c>
      <c r="M637" s="42"/>
      <c r="N637" s="45">
        <v>574000</v>
      </c>
      <c r="O637" s="42"/>
      <c r="P637" s="45">
        <v>530000</v>
      </c>
      <c r="Q637" s="42"/>
      <c r="R637" s="45">
        <v>0</v>
      </c>
    </row>
    <row r="638" spans="1:18" x14ac:dyDescent="0.2">
      <c r="A638" s="42"/>
      <c r="B638" s="42"/>
      <c r="C638" s="42" t="s">
        <v>225</v>
      </c>
      <c r="D638" s="42"/>
      <c r="E638" s="42"/>
      <c r="F638" s="45">
        <v>4071000</v>
      </c>
      <c r="G638" s="42"/>
      <c r="H638" s="45">
        <v>1347000</v>
      </c>
      <c r="I638" s="42"/>
      <c r="J638" s="45">
        <v>303000</v>
      </c>
      <c r="K638" s="42"/>
      <c r="L638" s="45">
        <v>2421000</v>
      </c>
      <c r="M638" s="42"/>
      <c r="N638" s="45">
        <v>1765000</v>
      </c>
      <c r="O638" s="42"/>
      <c r="P638" s="45">
        <v>2306000</v>
      </c>
      <c r="Q638" s="42"/>
      <c r="R638" s="45">
        <v>0</v>
      </c>
    </row>
    <row r="639" spans="1:18" x14ac:dyDescent="0.2">
      <c r="A639" s="42"/>
      <c r="B639" s="42"/>
      <c r="C639" s="42" t="s">
        <v>226</v>
      </c>
      <c r="D639" s="42"/>
      <c r="E639" s="42"/>
      <c r="F639" s="45">
        <v>2445000</v>
      </c>
      <c r="G639" s="42"/>
      <c r="H639" s="45">
        <v>425000</v>
      </c>
      <c r="I639" s="42"/>
      <c r="J639" s="45">
        <v>405000</v>
      </c>
      <c r="K639" s="42"/>
      <c r="L639" s="45">
        <v>1615000</v>
      </c>
      <c r="M639" s="42"/>
      <c r="N639" s="45">
        <v>1216000</v>
      </c>
      <c r="O639" s="42"/>
      <c r="P639" s="45">
        <v>1229000</v>
      </c>
      <c r="Q639" s="42"/>
      <c r="R639" s="45">
        <v>0</v>
      </c>
    </row>
    <row r="640" spans="1:18" x14ac:dyDescent="0.2">
      <c r="A640" s="42"/>
      <c r="B640" s="42"/>
      <c r="C640" s="42" t="s">
        <v>286</v>
      </c>
      <c r="D640" s="42"/>
      <c r="E640" s="42"/>
      <c r="F640" s="45">
        <v>7573000</v>
      </c>
      <c r="G640" s="42"/>
      <c r="H640" s="45">
        <v>3641000</v>
      </c>
      <c r="I640" s="42"/>
      <c r="J640" s="45">
        <v>771000</v>
      </c>
      <c r="K640" s="42"/>
      <c r="L640" s="45">
        <v>3161000</v>
      </c>
      <c r="M640" s="42"/>
      <c r="N640" s="45">
        <v>4585000</v>
      </c>
      <c r="O640" s="42"/>
      <c r="P640" s="45">
        <v>2990000</v>
      </c>
      <c r="Q640" s="42"/>
      <c r="R640" s="45">
        <v>2000</v>
      </c>
    </row>
    <row r="641" spans="1:18" x14ac:dyDescent="0.2">
      <c r="A641" s="42"/>
      <c r="B641" s="42"/>
      <c r="C641" s="42" t="s">
        <v>287</v>
      </c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</row>
    <row r="642" spans="1:18" x14ac:dyDescent="0.2">
      <c r="A642" s="42"/>
      <c r="B642" s="42"/>
      <c r="C642" s="42"/>
      <c r="D642" s="42"/>
      <c r="E642" s="42" t="s">
        <v>288</v>
      </c>
      <c r="F642" s="45">
        <v>2607000</v>
      </c>
      <c r="G642" s="42"/>
      <c r="H642" s="45">
        <v>192000</v>
      </c>
      <c r="I642" s="42"/>
      <c r="J642" s="45">
        <v>142000</v>
      </c>
      <c r="K642" s="42"/>
      <c r="L642" s="45">
        <v>2273000</v>
      </c>
      <c r="M642" s="42"/>
      <c r="N642" s="45">
        <v>1045000</v>
      </c>
      <c r="O642" s="42"/>
      <c r="P642" s="45">
        <v>1562000</v>
      </c>
      <c r="Q642" s="42"/>
      <c r="R642" s="45">
        <v>0</v>
      </c>
    </row>
    <row r="643" spans="1:18" x14ac:dyDescent="0.2">
      <c r="A643" s="42"/>
      <c r="B643" s="42"/>
      <c r="C643" s="42" t="s">
        <v>227</v>
      </c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</row>
    <row r="644" spans="1:18" x14ac:dyDescent="0.2">
      <c r="A644" s="42"/>
      <c r="B644" s="42"/>
      <c r="C644" s="42"/>
      <c r="D644" s="42"/>
      <c r="E644" s="42" t="s">
        <v>51</v>
      </c>
      <c r="F644" s="45">
        <v>2500000</v>
      </c>
      <c r="G644" s="42"/>
      <c r="H644" s="45">
        <v>303000</v>
      </c>
      <c r="I644" s="42"/>
      <c r="J644" s="45">
        <v>7000</v>
      </c>
      <c r="K644" s="42"/>
      <c r="L644" s="45">
        <v>2190000</v>
      </c>
      <c r="M644" s="42"/>
      <c r="N644" s="45">
        <v>1035000</v>
      </c>
      <c r="O644" s="42"/>
      <c r="P644" s="45">
        <v>1465000</v>
      </c>
      <c r="Q644" s="42"/>
      <c r="R644" s="45">
        <v>0</v>
      </c>
    </row>
    <row r="645" spans="1:18" x14ac:dyDescent="0.2">
      <c r="A645" s="42"/>
      <c r="B645" s="42"/>
      <c r="C645" s="42" t="s">
        <v>228</v>
      </c>
      <c r="D645" s="42"/>
      <c r="E645" s="42"/>
      <c r="F645" s="45">
        <v>5976000</v>
      </c>
      <c r="G645" s="42"/>
      <c r="H645" s="45">
        <v>-13000</v>
      </c>
      <c r="I645" s="42"/>
      <c r="J645" s="45">
        <v>952000</v>
      </c>
      <c r="K645" s="42"/>
      <c r="L645" s="45">
        <v>5037000</v>
      </c>
      <c r="M645" s="42"/>
      <c r="N645" s="45">
        <v>3111000</v>
      </c>
      <c r="O645" s="42"/>
      <c r="P645" s="45">
        <v>2875000</v>
      </c>
      <c r="Q645" s="42"/>
      <c r="R645" s="45">
        <v>10000</v>
      </c>
    </row>
    <row r="646" spans="1:18" x14ac:dyDescent="0.2">
      <c r="A646" s="42"/>
      <c r="B646" s="42"/>
      <c r="C646" s="42" t="s">
        <v>229</v>
      </c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</row>
    <row r="647" spans="1:18" x14ac:dyDescent="0.2">
      <c r="A647" s="42"/>
      <c r="B647" s="42"/>
      <c r="C647" s="42"/>
      <c r="D647" s="42"/>
      <c r="E647" s="42" t="s">
        <v>230</v>
      </c>
      <c r="F647" s="45">
        <v>2006000</v>
      </c>
      <c r="G647" s="42"/>
      <c r="H647" s="45">
        <v>278000</v>
      </c>
      <c r="I647" s="42"/>
      <c r="J647" s="45">
        <v>110000</v>
      </c>
      <c r="K647" s="42"/>
      <c r="L647" s="45">
        <v>1618000</v>
      </c>
      <c r="M647" s="42"/>
      <c r="N647" s="45">
        <v>958000</v>
      </c>
      <c r="O647" s="42"/>
      <c r="P647" s="45">
        <v>1048000</v>
      </c>
      <c r="Q647" s="42"/>
      <c r="R647" s="45">
        <v>0</v>
      </c>
    </row>
    <row r="648" spans="1:18" x14ac:dyDescent="0.2">
      <c r="A648" s="42"/>
      <c r="B648" s="42"/>
      <c r="C648" s="42" t="s">
        <v>231</v>
      </c>
      <c r="D648" s="42"/>
      <c r="E648" s="42"/>
      <c r="F648" s="45">
        <v>448000</v>
      </c>
      <c r="G648" s="42"/>
      <c r="H648" s="45">
        <v>0</v>
      </c>
      <c r="I648" s="42"/>
      <c r="J648" s="45">
        <v>0</v>
      </c>
      <c r="K648" s="42"/>
      <c r="L648" s="45">
        <v>448000</v>
      </c>
      <c r="M648" s="42"/>
      <c r="N648" s="45">
        <v>278000</v>
      </c>
      <c r="O648" s="42"/>
      <c r="P648" s="45">
        <v>170000</v>
      </c>
      <c r="Q648" s="42"/>
      <c r="R648" s="45">
        <v>0</v>
      </c>
    </row>
    <row r="649" spans="1:18" x14ac:dyDescent="0.2">
      <c r="A649" s="42"/>
      <c r="B649" s="42"/>
      <c r="C649" s="42" t="s">
        <v>289</v>
      </c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</row>
    <row r="650" spans="1:18" x14ac:dyDescent="0.2">
      <c r="A650" s="42"/>
      <c r="B650" s="42"/>
      <c r="C650" s="42"/>
      <c r="D650" s="42"/>
      <c r="E650" s="42" t="s">
        <v>290</v>
      </c>
      <c r="F650" s="45">
        <v>3047000</v>
      </c>
      <c r="G650" s="42"/>
      <c r="H650" s="45">
        <v>0</v>
      </c>
      <c r="I650" s="42"/>
      <c r="J650" s="45">
        <v>1000</v>
      </c>
      <c r="K650" s="42"/>
      <c r="L650" s="45">
        <v>3046000</v>
      </c>
      <c r="M650" s="42"/>
      <c r="N650" s="45">
        <v>2126000</v>
      </c>
      <c r="O650" s="42"/>
      <c r="P650" s="45">
        <v>921000</v>
      </c>
      <c r="Q650" s="42"/>
      <c r="R650" s="45">
        <v>0</v>
      </c>
    </row>
    <row r="651" spans="1:18" x14ac:dyDescent="0.2">
      <c r="A651" s="42"/>
      <c r="B651" s="42"/>
      <c r="C651" s="42" t="s">
        <v>232</v>
      </c>
      <c r="D651" s="42"/>
      <c r="E651" s="42"/>
      <c r="F651" s="45">
        <v>961000</v>
      </c>
      <c r="G651" s="42"/>
      <c r="H651" s="45">
        <v>0</v>
      </c>
      <c r="I651" s="42"/>
      <c r="J651" s="45">
        <v>1000</v>
      </c>
      <c r="K651" s="42"/>
      <c r="L651" s="45">
        <v>960000</v>
      </c>
      <c r="M651" s="42"/>
      <c r="N651" s="45">
        <v>481000</v>
      </c>
      <c r="O651" s="42"/>
      <c r="P651" s="45">
        <v>480000</v>
      </c>
      <c r="Q651" s="42"/>
      <c r="R651" s="45">
        <v>0</v>
      </c>
    </row>
    <row r="652" spans="1:18" x14ac:dyDescent="0.2">
      <c r="A652" s="42"/>
      <c r="B652" s="42"/>
      <c r="C652" s="42" t="s">
        <v>233</v>
      </c>
      <c r="D652" s="42"/>
      <c r="E652" s="42"/>
      <c r="F652" s="45">
        <v>1141000</v>
      </c>
      <c r="G652" s="42"/>
      <c r="H652" s="45">
        <v>4000</v>
      </c>
      <c r="I652" s="42"/>
      <c r="J652" s="45">
        <v>231000</v>
      </c>
      <c r="K652" s="42"/>
      <c r="L652" s="45">
        <v>906000</v>
      </c>
      <c r="M652" s="42"/>
      <c r="N652" s="45">
        <v>388000</v>
      </c>
      <c r="O652" s="42"/>
      <c r="P652" s="45">
        <v>753000</v>
      </c>
      <c r="Q652" s="42"/>
      <c r="R652" s="45">
        <v>0</v>
      </c>
    </row>
    <row r="653" spans="1:18" x14ac:dyDescent="0.2">
      <c r="A653" s="42"/>
      <c r="B653" s="42"/>
      <c r="C653" s="42" t="s">
        <v>291</v>
      </c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</row>
    <row r="654" spans="1:18" x14ac:dyDescent="0.2">
      <c r="A654" s="42"/>
      <c r="B654" s="42"/>
      <c r="C654" s="42"/>
      <c r="D654" s="42"/>
      <c r="E654" s="42" t="s">
        <v>292</v>
      </c>
      <c r="F654" s="45">
        <v>122000</v>
      </c>
      <c r="G654" s="42"/>
      <c r="H654" s="45">
        <v>0</v>
      </c>
      <c r="I654" s="42"/>
      <c r="J654" s="45">
        <v>114000</v>
      </c>
      <c r="K654" s="42"/>
      <c r="L654" s="45">
        <v>8000</v>
      </c>
      <c r="M654" s="42"/>
      <c r="N654" s="45">
        <v>64000</v>
      </c>
      <c r="O654" s="42"/>
      <c r="P654" s="45">
        <v>58000</v>
      </c>
      <c r="Q654" s="42"/>
      <c r="R654" s="45">
        <v>0</v>
      </c>
    </row>
    <row r="655" spans="1:18" x14ac:dyDescent="0.2">
      <c r="A655" s="42"/>
      <c r="B655" s="42"/>
      <c r="C655" s="42" t="s">
        <v>293</v>
      </c>
      <c r="D655" s="42"/>
      <c r="E655" s="42"/>
      <c r="F655" s="45">
        <v>314000</v>
      </c>
      <c r="G655" s="42"/>
      <c r="H655" s="45">
        <v>6000</v>
      </c>
      <c r="I655" s="42"/>
      <c r="J655" s="45">
        <v>286000</v>
      </c>
      <c r="K655" s="42"/>
      <c r="L655" s="45">
        <v>22000</v>
      </c>
      <c r="M655" s="42"/>
      <c r="N655" s="45">
        <v>179000</v>
      </c>
      <c r="O655" s="42"/>
      <c r="P655" s="45">
        <v>135000</v>
      </c>
      <c r="Q655" s="42"/>
      <c r="R655" s="45">
        <v>0</v>
      </c>
    </row>
    <row r="656" spans="1:18" x14ac:dyDescent="0.2">
      <c r="A656" s="42"/>
      <c r="B656" s="42"/>
      <c r="C656" s="42" t="s">
        <v>234</v>
      </c>
      <c r="D656" s="42"/>
      <c r="E656" s="42"/>
      <c r="F656" s="45">
        <v>-6836000</v>
      </c>
      <c r="G656" s="42"/>
      <c r="H656" s="45">
        <v>-21566000</v>
      </c>
      <c r="I656" s="42"/>
      <c r="J656" s="45">
        <v>25359000</v>
      </c>
      <c r="K656" s="42"/>
      <c r="L656" s="45">
        <v>-10629000</v>
      </c>
      <c r="M656" s="42"/>
      <c r="N656" s="45">
        <v>839000</v>
      </c>
      <c r="O656" s="42"/>
      <c r="P656" s="45">
        <v>-7671000</v>
      </c>
      <c r="Q656" s="42"/>
      <c r="R656" s="45">
        <v>4000</v>
      </c>
    </row>
    <row r="657" spans="1:18" x14ac:dyDescent="0.2">
      <c r="A657" s="42"/>
      <c r="B657" s="42"/>
      <c r="C657" s="42" t="s">
        <v>294</v>
      </c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</row>
    <row r="658" spans="1:18" x14ac:dyDescent="0.2">
      <c r="A658" s="42"/>
      <c r="B658" s="42"/>
      <c r="C658" s="42" t="s">
        <v>235</v>
      </c>
      <c r="D658" s="42"/>
      <c r="E658" s="42"/>
      <c r="F658" s="45">
        <v>46000</v>
      </c>
      <c r="G658" s="42"/>
      <c r="H658" s="45">
        <v>0</v>
      </c>
      <c r="I658" s="42"/>
      <c r="J658" s="45">
        <v>43000</v>
      </c>
      <c r="K658" s="42"/>
      <c r="L658" s="45">
        <v>3000</v>
      </c>
      <c r="M658" s="42"/>
      <c r="N658" s="45">
        <v>18000</v>
      </c>
      <c r="O658" s="42"/>
      <c r="P658" s="45">
        <v>28000</v>
      </c>
      <c r="Q658" s="42"/>
      <c r="R658" s="45">
        <v>0</v>
      </c>
    </row>
    <row r="659" spans="1:18" x14ac:dyDescent="0.2">
      <c r="A659" s="42"/>
      <c r="B659" s="42"/>
      <c r="C659" s="42" t="s">
        <v>295</v>
      </c>
      <c r="D659" s="42"/>
      <c r="E659" s="42"/>
      <c r="F659" s="45">
        <v>2802000</v>
      </c>
      <c r="G659" s="42"/>
      <c r="H659" s="45">
        <v>875000</v>
      </c>
      <c r="I659" s="42"/>
      <c r="J659" s="45">
        <v>61000</v>
      </c>
      <c r="K659" s="42"/>
      <c r="L659" s="45">
        <v>1866000</v>
      </c>
      <c r="M659" s="42"/>
      <c r="N659" s="45">
        <v>1164000</v>
      </c>
      <c r="O659" s="42"/>
      <c r="P659" s="45">
        <v>1638000</v>
      </c>
      <c r="Q659" s="42"/>
      <c r="R659" s="45">
        <v>0</v>
      </c>
    </row>
    <row r="660" spans="1:18" x14ac:dyDescent="0.2">
      <c r="A660" s="42"/>
      <c r="B660" s="42"/>
      <c r="C660" s="42" t="s">
        <v>296</v>
      </c>
      <c r="D660" s="42"/>
      <c r="E660" s="42"/>
      <c r="F660" s="45">
        <v>4830000</v>
      </c>
      <c r="G660" s="42"/>
      <c r="H660" s="45">
        <v>986000</v>
      </c>
      <c r="I660" s="42"/>
      <c r="J660" s="45">
        <v>3844000</v>
      </c>
      <c r="K660" s="42"/>
      <c r="L660" s="45">
        <v>0</v>
      </c>
      <c r="M660" s="42"/>
      <c r="N660" s="45">
        <v>2557000</v>
      </c>
      <c r="O660" s="42"/>
      <c r="P660" s="45">
        <v>2273000</v>
      </c>
      <c r="Q660" s="42"/>
      <c r="R660" s="45">
        <v>0</v>
      </c>
    </row>
    <row r="661" spans="1:18" x14ac:dyDescent="0.2">
      <c r="A661" s="42"/>
      <c r="B661" s="42"/>
      <c r="C661" s="42" t="s">
        <v>297</v>
      </c>
      <c r="D661" s="42"/>
      <c r="E661" s="42"/>
      <c r="F661" s="45">
        <v>0</v>
      </c>
      <c r="G661" s="42"/>
      <c r="H661" s="45">
        <v>0</v>
      </c>
      <c r="I661" s="42"/>
      <c r="J661" s="45">
        <v>0</v>
      </c>
      <c r="K661" s="42"/>
      <c r="L661" s="45">
        <v>0</v>
      </c>
      <c r="M661" s="42"/>
      <c r="N661" s="45">
        <v>0</v>
      </c>
      <c r="O661" s="42"/>
      <c r="P661" s="45">
        <v>0</v>
      </c>
      <c r="Q661" s="42"/>
      <c r="R661" s="45">
        <v>0</v>
      </c>
    </row>
    <row r="662" spans="1:18" x14ac:dyDescent="0.2">
      <c r="A662" s="42"/>
      <c r="B662" s="42"/>
      <c r="C662" s="42" t="s">
        <v>298</v>
      </c>
      <c r="D662" s="42"/>
      <c r="E662" s="42"/>
      <c r="F662" s="45">
        <v>4607000</v>
      </c>
      <c r="G662" s="42"/>
      <c r="H662" s="45">
        <v>33000</v>
      </c>
      <c r="I662" s="42"/>
      <c r="J662" s="45">
        <v>75000</v>
      </c>
      <c r="K662" s="42"/>
      <c r="L662" s="45">
        <v>4499000</v>
      </c>
      <c r="M662" s="42"/>
      <c r="N662" s="45">
        <v>1945000</v>
      </c>
      <c r="O662" s="42"/>
      <c r="P662" s="45">
        <v>2662000</v>
      </c>
      <c r="Q662" s="42"/>
      <c r="R662" s="45">
        <v>0</v>
      </c>
    </row>
    <row r="663" spans="1:18" x14ac:dyDescent="0.2">
      <c r="A663" s="42"/>
      <c r="B663" s="42"/>
      <c r="C663" s="42" t="s">
        <v>236</v>
      </c>
      <c r="D663" s="42"/>
      <c r="E663" s="42"/>
      <c r="F663" s="45">
        <v>54936000</v>
      </c>
      <c r="G663" s="42"/>
      <c r="H663" s="45">
        <v>483000</v>
      </c>
      <c r="I663" s="42"/>
      <c r="J663" s="45">
        <v>2095000</v>
      </c>
      <c r="K663" s="42"/>
      <c r="L663" s="45">
        <v>52358000</v>
      </c>
      <c r="M663" s="42"/>
      <c r="N663" s="45">
        <v>19778000</v>
      </c>
      <c r="O663" s="42"/>
      <c r="P663" s="45">
        <v>35158000</v>
      </c>
      <c r="Q663" s="42"/>
      <c r="R663" s="45">
        <v>0</v>
      </c>
    </row>
    <row r="664" spans="1:18" x14ac:dyDescent="0.2">
      <c r="A664" s="42"/>
      <c r="B664" s="42"/>
      <c r="C664" s="42" t="s">
        <v>237</v>
      </c>
      <c r="D664" s="42"/>
      <c r="E664" s="42"/>
      <c r="F664" s="45">
        <v>253000</v>
      </c>
      <c r="G664" s="42"/>
      <c r="H664" s="45">
        <v>0</v>
      </c>
      <c r="I664" s="42"/>
      <c r="J664" s="45">
        <v>0</v>
      </c>
      <c r="K664" s="42"/>
      <c r="L664" s="45">
        <v>253000</v>
      </c>
      <c r="M664" s="42"/>
      <c r="N664" s="45">
        <v>119000</v>
      </c>
      <c r="O664" s="42"/>
      <c r="P664" s="45">
        <v>134000</v>
      </c>
      <c r="Q664" s="42"/>
      <c r="R664" s="45">
        <v>0</v>
      </c>
    </row>
    <row r="665" spans="1:18" x14ac:dyDescent="0.2">
      <c r="A665" s="42"/>
      <c r="B665" s="42"/>
      <c r="C665" s="42" t="s">
        <v>238</v>
      </c>
      <c r="D665" s="42"/>
      <c r="E665" s="42"/>
      <c r="F665" s="45">
        <v>162000</v>
      </c>
      <c r="G665" s="42"/>
      <c r="H665" s="45">
        <v>6000</v>
      </c>
      <c r="I665" s="42"/>
      <c r="J665" s="45">
        <v>17000</v>
      </c>
      <c r="K665" s="42"/>
      <c r="L665" s="45">
        <v>139000</v>
      </c>
      <c r="M665" s="42"/>
      <c r="N665" s="45">
        <v>98000</v>
      </c>
      <c r="O665" s="42"/>
      <c r="P665" s="45">
        <v>64000</v>
      </c>
      <c r="Q665" s="42"/>
      <c r="R665" s="45">
        <v>0</v>
      </c>
    </row>
    <row r="666" spans="1:18" x14ac:dyDescent="0.2">
      <c r="A666" s="42"/>
      <c r="B666" s="42"/>
      <c r="C666" s="42" t="s">
        <v>239</v>
      </c>
      <c r="D666" s="42"/>
      <c r="E666" s="42"/>
      <c r="F666" s="45">
        <v>255000</v>
      </c>
      <c r="G666" s="42"/>
      <c r="H666" s="45">
        <v>38000</v>
      </c>
      <c r="I666" s="42"/>
      <c r="J666" s="45">
        <v>93000</v>
      </c>
      <c r="K666" s="42"/>
      <c r="L666" s="45">
        <v>124000</v>
      </c>
      <c r="M666" s="42"/>
      <c r="N666" s="45">
        <v>194000</v>
      </c>
      <c r="O666" s="42"/>
      <c r="P666" s="45">
        <v>61000</v>
      </c>
      <c r="Q666" s="42"/>
      <c r="R666" s="45">
        <v>0</v>
      </c>
    </row>
    <row r="667" spans="1:18" x14ac:dyDescent="0.2">
      <c r="A667" s="42"/>
      <c r="B667" s="42"/>
      <c r="C667" s="42" t="s">
        <v>299</v>
      </c>
      <c r="D667" s="42"/>
      <c r="E667" s="42"/>
      <c r="F667" s="45">
        <v>1924000</v>
      </c>
      <c r="G667" s="42"/>
      <c r="H667" s="45">
        <v>0</v>
      </c>
      <c r="I667" s="42"/>
      <c r="J667" s="45">
        <v>1000</v>
      </c>
      <c r="K667" s="42"/>
      <c r="L667" s="45">
        <v>1923000</v>
      </c>
      <c r="M667" s="42"/>
      <c r="N667" s="45">
        <v>908000</v>
      </c>
      <c r="O667" s="42"/>
      <c r="P667" s="45">
        <v>1016000</v>
      </c>
      <c r="Q667" s="42"/>
      <c r="R667" s="45">
        <v>0</v>
      </c>
    </row>
    <row r="668" spans="1:18" x14ac:dyDescent="0.2">
      <c r="A668" s="42"/>
      <c r="B668" s="42"/>
      <c r="C668" s="42" t="s">
        <v>300</v>
      </c>
      <c r="D668" s="42"/>
      <c r="E668" s="42"/>
      <c r="F668" s="45">
        <v>6000</v>
      </c>
      <c r="G668" s="42"/>
      <c r="H668" s="45">
        <v>0</v>
      </c>
      <c r="I668" s="42"/>
      <c r="J668" s="45">
        <v>0</v>
      </c>
      <c r="K668" s="42"/>
      <c r="L668" s="45">
        <v>6000</v>
      </c>
      <c r="M668" s="42"/>
      <c r="N668" s="45">
        <v>0</v>
      </c>
      <c r="O668" s="42"/>
      <c r="P668" s="45">
        <v>6000</v>
      </c>
      <c r="Q668" s="42"/>
      <c r="R668" s="45">
        <v>0</v>
      </c>
    </row>
    <row r="669" spans="1:18" x14ac:dyDescent="0.2">
      <c r="A669" s="42"/>
      <c r="B669" s="42"/>
      <c r="C669" s="42" t="s">
        <v>301</v>
      </c>
      <c r="D669" s="42"/>
      <c r="E669" s="42"/>
      <c r="F669" s="45">
        <v>0</v>
      </c>
      <c r="G669" s="42"/>
      <c r="H669" s="45">
        <v>0</v>
      </c>
      <c r="I669" s="42"/>
      <c r="J669" s="45">
        <v>0</v>
      </c>
      <c r="K669" s="42"/>
      <c r="L669" s="45">
        <v>0</v>
      </c>
      <c r="M669" s="42"/>
      <c r="N669" s="45">
        <v>0</v>
      </c>
      <c r="O669" s="42"/>
      <c r="P669" s="45">
        <v>0</v>
      </c>
      <c r="Q669" s="42"/>
      <c r="R669" s="45">
        <v>0</v>
      </c>
    </row>
    <row r="670" spans="1:18" x14ac:dyDescent="0.2">
      <c r="A670" s="42"/>
      <c r="B670" s="42"/>
      <c r="C670" s="42" t="s">
        <v>302</v>
      </c>
      <c r="D670" s="42"/>
      <c r="E670" s="42"/>
      <c r="F670" s="45">
        <v>1425000</v>
      </c>
      <c r="G670" s="42"/>
      <c r="H670" s="45">
        <v>-22000</v>
      </c>
      <c r="I670" s="42"/>
      <c r="J670" s="45">
        <v>-134000</v>
      </c>
      <c r="K670" s="42"/>
      <c r="L670" s="45">
        <v>1581000</v>
      </c>
      <c r="M670" s="42"/>
      <c r="N670" s="45">
        <v>708000</v>
      </c>
      <c r="O670" s="42"/>
      <c r="P670" s="45">
        <v>717000</v>
      </c>
      <c r="Q670" s="42"/>
      <c r="R670" s="45">
        <v>0</v>
      </c>
    </row>
    <row r="671" spans="1:18" x14ac:dyDescent="0.2">
      <c r="A671" s="42"/>
      <c r="B671" s="42"/>
      <c r="C671" s="42" t="s">
        <v>303</v>
      </c>
      <c r="D671" s="42"/>
      <c r="E671" s="42"/>
      <c r="F671" s="45">
        <v>1622000</v>
      </c>
      <c r="G671" s="42"/>
      <c r="H671" s="45">
        <v>3000</v>
      </c>
      <c r="I671" s="42"/>
      <c r="J671" s="45">
        <v>37000</v>
      </c>
      <c r="K671" s="42"/>
      <c r="L671" s="45">
        <v>1582000</v>
      </c>
      <c r="M671" s="42"/>
      <c r="N671" s="45">
        <v>646000</v>
      </c>
      <c r="O671" s="42"/>
      <c r="P671" s="45">
        <v>976000</v>
      </c>
      <c r="Q671" s="42"/>
      <c r="R671" s="45">
        <v>0</v>
      </c>
    </row>
    <row r="672" spans="1:18" x14ac:dyDescent="0.2">
      <c r="A672" s="42"/>
      <c r="B672" s="42"/>
      <c r="C672" s="42" t="s">
        <v>241</v>
      </c>
      <c r="D672" s="42"/>
      <c r="E672" s="42"/>
      <c r="F672" s="45">
        <v>1316000</v>
      </c>
      <c r="G672" s="42"/>
      <c r="H672" s="45">
        <v>69000</v>
      </c>
      <c r="I672" s="42"/>
      <c r="J672" s="45">
        <v>1067000</v>
      </c>
      <c r="K672" s="42"/>
      <c r="L672" s="45">
        <v>180000</v>
      </c>
      <c r="M672" s="42"/>
      <c r="N672" s="45">
        <v>742000</v>
      </c>
      <c r="O672" s="42"/>
      <c r="P672" s="45">
        <v>593000</v>
      </c>
      <c r="Q672" s="42"/>
      <c r="R672" s="45">
        <v>19000</v>
      </c>
    </row>
    <row r="673" spans="1:18" x14ac:dyDescent="0.2">
      <c r="A673" s="42"/>
      <c r="B673" s="42"/>
      <c r="C673" s="42" t="s">
        <v>242</v>
      </c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</row>
    <row r="674" spans="1:18" x14ac:dyDescent="0.2">
      <c r="A674" s="42"/>
      <c r="B674" s="42"/>
      <c r="C674" s="42" t="s">
        <v>272</v>
      </c>
      <c r="D674" s="42"/>
      <c r="E674" s="42" t="s">
        <v>243</v>
      </c>
      <c r="F674" s="45">
        <v>443000</v>
      </c>
      <c r="G674" s="42"/>
      <c r="H674" s="45">
        <v>50000</v>
      </c>
      <c r="I674" s="42"/>
      <c r="J674" s="45">
        <v>333000</v>
      </c>
      <c r="K674" s="42"/>
      <c r="L674" s="45">
        <v>60000</v>
      </c>
      <c r="M674" s="42"/>
      <c r="N674" s="45">
        <v>191000</v>
      </c>
      <c r="O674" s="42"/>
      <c r="P674" s="45">
        <v>252000</v>
      </c>
      <c r="Q674" s="42"/>
      <c r="R674" s="45">
        <v>0</v>
      </c>
    </row>
    <row r="675" spans="1:18" x14ac:dyDescent="0.2">
      <c r="A675" s="42"/>
      <c r="B675" s="42"/>
      <c r="C675" s="42" t="s">
        <v>244</v>
      </c>
      <c r="D675" s="42"/>
      <c r="E675" s="42"/>
      <c r="F675" s="43">
        <v>1598000</v>
      </c>
      <c r="G675" s="42"/>
      <c r="H675" s="43">
        <v>16000</v>
      </c>
      <c r="I675" s="42"/>
      <c r="J675" s="43">
        <v>355000</v>
      </c>
      <c r="K675" s="42"/>
      <c r="L675" s="43">
        <v>1227000</v>
      </c>
      <c r="M675" s="42"/>
      <c r="N675" s="43">
        <v>1513000</v>
      </c>
      <c r="O675" s="42"/>
      <c r="P675" s="43">
        <v>85000</v>
      </c>
      <c r="Q675" s="42"/>
      <c r="R675" s="43">
        <v>0</v>
      </c>
    </row>
    <row r="676" spans="1:18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</row>
    <row r="677" spans="1:18" x14ac:dyDescent="0.2">
      <c r="A677" s="42"/>
      <c r="B677" s="42"/>
      <c r="C677" s="42"/>
      <c r="D677" s="42"/>
      <c r="E677" s="42" t="s">
        <v>3</v>
      </c>
      <c r="F677" s="43">
        <v>199580000</v>
      </c>
      <c r="G677" s="42"/>
      <c r="H677" s="43">
        <v>-5663000</v>
      </c>
      <c r="I677" s="42"/>
      <c r="J677" s="43">
        <v>45368000</v>
      </c>
      <c r="K677" s="42"/>
      <c r="L677" s="43">
        <v>159875000</v>
      </c>
      <c r="M677" s="42"/>
      <c r="N677" s="43">
        <v>92957000</v>
      </c>
      <c r="O677" s="42"/>
      <c r="P677" s="43">
        <v>108151000</v>
      </c>
      <c r="Q677" s="42"/>
      <c r="R677" s="43">
        <v>1528000</v>
      </c>
    </row>
    <row r="678" spans="1:18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</row>
    <row r="679" spans="1:18" x14ac:dyDescent="0.2">
      <c r="A679" s="42"/>
      <c r="B679" s="42" t="s">
        <v>28</v>
      </c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</row>
    <row r="680" spans="1:18" x14ac:dyDescent="0.2">
      <c r="A680" s="42"/>
      <c r="B680" s="42"/>
      <c r="C680" s="42" t="s">
        <v>304</v>
      </c>
      <c r="D680" s="42"/>
      <c r="E680" s="42"/>
      <c r="F680" s="45">
        <v>10535000</v>
      </c>
      <c r="G680" s="42"/>
      <c r="H680" s="45">
        <v>1926000</v>
      </c>
      <c r="I680" s="42"/>
      <c r="J680" s="45">
        <v>4321000</v>
      </c>
      <c r="K680" s="42"/>
      <c r="L680" s="45">
        <v>4288000</v>
      </c>
      <c r="M680" s="42"/>
      <c r="N680" s="45">
        <v>4219000</v>
      </c>
      <c r="O680" s="42"/>
      <c r="P680" s="45">
        <v>6324000</v>
      </c>
      <c r="Q680" s="42"/>
      <c r="R680" s="45">
        <v>8000</v>
      </c>
    </row>
    <row r="681" spans="1:18" x14ac:dyDescent="0.2">
      <c r="A681" s="42"/>
      <c r="B681" s="42"/>
      <c r="C681" s="42" t="s">
        <v>305</v>
      </c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</row>
    <row r="682" spans="1:18" x14ac:dyDescent="0.2">
      <c r="A682" s="42"/>
      <c r="B682" s="42"/>
      <c r="C682" s="42"/>
      <c r="D682" s="42"/>
      <c r="E682" s="42" t="s">
        <v>306</v>
      </c>
      <c r="F682" s="45">
        <v>3778000</v>
      </c>
      <c r="G682" s="42"/>
      <c r="H682" s="45">
        <v>869000</v>
      </c>
      <c r="I682" s="42"/>
      <c r="J682" s="45">
        <v>2170000</v>
      </c>
      <c r="K682" s="42"/>
      <c r="L682" s="45">
        <v>739000</v>
      </c>
      <c r="M682" s="42"/>
      <c r="N682" s="45">
        <v>1648000</v>
      </c>
      <c r="O682" s="42"/>
      <c r="P682" s="45">
        <v>2130000</v>
      </c>
      <c r="Q682" s="42"/>
      <c r="R682" s="45">
        <v>0</v>
      </c>
    </row>
    <row r="683" spans="1:18" x14ac:dyDescent="0.2">
      <c r="A683" s="42"/>
      <c r="B683" s="42"/>
      <c r="C683" s="42" t="s">
        <v>307</v>
      </c>
      <c r="D683" s="42"/>
      <c r="E683" s="42"/>
      <c r="F683" s="45">
        <v>10450000</v>
      </c>
      <c r="G683" s="42"/>
      <c r="H683" s="45">
        <v>2000</v>
      </c>
      <c r="I683" s="42"/>
      <c r="J683" s="45">
        <v>2940000</v>
      </c>
      <c r="K683" s="42"/>
      <c r="L683" s="45">
        <v>7508000</v>
      </c>
      <c r="M683" s="42"/>
      <c r="N683" s="45">
        <v>4477000</v>
      </c>
      <c r="O683" s="42"/>
      <c r="P683" s="45">
        <v>5973000</v>
      </c>
      <c r="Q683" s="42"/>
      <c r="R683" s="45">
        <v>0</v>
      </c>
    </row>
    <row r="684" spans="1:18" x14ac:dyDescent="0.2">
      <c r="A684" s="42"/>
      <c r="B684" s="42"/>
      <c r="C684" s="42" t="s">
        <v>211</v>
      </c>
      <c r="D684" s="42"/>
      <c r="E684" s="42"/>
      <c r="F684" s="45">
        <v>0</v>
      </c>
      <c r="G684" s="42"/>
      <c r="H684" s="45">
        <v>0</v>
      </c>
      <c r="I684" s="42"/>
      <c r="J684" s="45">
        <v>0</v>
      </c>
      <c r="K684" s="42"/>
      <c r="L684" s="45">
        <v>0</v>
      </c>
      <c r="M684" s="42"/>
      <c r="N684" s="45">
        <v>0</v>
      </c>
      <c r="O684" s="42"/>
      <c r="P684" s="45">
        <v>0</v>
      </c>
      <c r="Q684" s="42"/>
      <c r="R684" s="45">
        <v>0</v>
      </c>
    </row>
    <row r="685" spans="1:18" x14ac:dyDescent="0.2">
      <c r="A685" s="42"/>
      <c r="B685" s="42"/>
      <c r="C685" s="42" t="s">
        <v>308</v>
      </c>
      <c r="D685" s="42"/>
      <c r="E685" s="42"/>
      <c r="F685" s="45">
        <v>0</v>
      </c>
      <c r="G685" s="42"/>
      <c r="H685" s="45">
        <v>9000</v>
      </c>
      <c r="I685" s="42"/>
      <c r="J685" s="45">
        <v>-9000</v>
      </c>
      <c r="K685" s="42"/>
      <c r="L685" s="45">
        <v>0</v>
      </c>
      <c r="M685" s="42"/>
      <c r="N685" s="45">
        <v>0</v>
      </c>
      <c r="O685" s="42"/>
      <c r="P685" s="45">
        <v>0</v>
      </c>
      <c r="Q685" s="42"/>
      <c r="R685" s="45">
        <v>0</v>
      </c>
    </row>
    <row r="686" spans="1:18" x14ac:dyDescent="0.2">
      <c r="A686" s="42"/>
      <c r="B686" s="42"/>
      <c r="C686" s="42" t="s">
        <v>309</v>
      </c>
      <c r="D686" s="42"/>
      <c r="E686" s="42"/>
      <c r="F686" s="45">
        <v>15292000</v>
      </c>
      <c r="G686" s="42"/>
      <c r="H686" s="45">
        <v>0</v>
      </c>
      <c r="I686" s="42"/>
      <c r="J686" s="45">
        <v>7890000</v>
      </c>
      <c r="K686" s="42"/>
      <c r="L686" s="45">
        <v>7402000</v>
      </c>
      <c r="M686" s="42"/>
      <c r="N686" s="45">
        <v>5212000</v>
      </c>
      <c r="O686" s="42"/>
      <c r="P686" s="45">
        <v>11910000</v>
      </c>
      <c r="Q686" s="42"/>
      <c r="R686" s="45">
        <v>1830000</v>
      </c>
    </row>
    <row r="687" spans="1:18" x14ac:dyDescent="0.2">
      <c r="A687" s="42"/>
      <c r="B687" s="42"/>
      <c r="C687" s="42" t="s">
        <v>310</v>
      </c>
      <c r="D687" s="42"/>
      <c r="E687" s="42"/>
      <c r="F687" s="45">
        <v>1146000</v>
      </c>
      <c r="G687" s="42"/>
      <c r="H687" s="45">
        <v>144000</v>
      </c>
      <c r="I687" s="42"/>
      <c r="J687" s="45">
        <v>449000</v>
      </c>
      <c r="K687" s="42"/>
      <c r="L687" s="45">
        <v>553000</v>
      </c>
      <c r="M687" s="42"/>
      <c r="N687" s="45">
        <v>934000</v>
      </c>
      <c r="O687" s="42"/>
      <c r="P687" s="45">
        <v>212000</v>
      </c>
      <c r="Q687" s="42"/>
      <c r="R687" s="45">
        <v>0</v>
      </c>
    </row>
    <row r="688" spans="1:18" x14ac:dyDescent="0.2">
      <c r="A688" s="42"/>
      <c r="B688" s="42"/>
      <c r="C688" s="42" t="s">
        <v>311</v>
      </c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</row>
    <row r="689" spans="1:18" x14ac:dyDescent="0.2">
      <c r="A689" s="42"/>
      <c r="B689" s="42"/>
      <c r="C689" s="42"/>
      <c r="D689" s="42"/>
      <c r="E689" s="42" t="s">
        <v>312</v>
      </c>
      <c r="F689" s="45">
        <v>162000</v>
      </c>
      <c r="G689" s="42"/>
      <c r="H689" s="45">
        <v>14000</v>
      </c>
      <c r="I689" s="42"/>
      <c r="J689" s="45">
        <v>69000</v>
      </c>
      <c r="K689" s="42"/>
      <c r="L689" s="45">
        <v>79000</v>
      </c>
      <c r="M689" s="42"/>
      <c r="N689" s="45">
        <v>101000</v>
      </c>
      <c r="O689" s="42"/>
      <c r="P689" s="45">
        <v>61000</v>
      </c>
      <c r="Q689" s="42"/>
      <c r="R689" s="45">
        <v>0</v>
      </c>
    </row>
    <row r="690" spans="1:18" x14ac:dyDescent="0.2">
      <c r="A690" s="42"/>
      <c r="B690" s="42"/>
      <c r="C690" s="42" t="s">
        <v>275</v>
      </c>
      <c r="D690" s="42"/>
      <c r="E690" s="42"/>
      <c r="F690" s="45">
        <v>436000</v>
      </c>
      <c r="G690" s="42"/>
      <c r="H690" s="45">
        <v>0</v>
      </c>
      <c r="I690" s="42"/>
      <c r="J690" s="45">
        <v>0</v>
      </c>
      <c r="K690" s="42"/>
      <c r="L690" s="45">
        <v>436000</v>
      </c>
      <c r="M690" s="42"/>
      <c r="N690" s="45">
        <v>26000</v>
      </c>
      <c r="O690" s="42"/>
      <c r="P690" s="45">
        <v>410000</v>
      </c>
      <c r="Q690" s="42"/>
      <c r="R690" s="45">
        <v>0</v>
      </c>
    </row>
    <row r="691" spans="1:18" x14ac:dyDescent="0.2">
      <c r="A691" s="42"/>
      <c r="B691" s="42"/>
      <c r="C691" s="42" t="s">
        <v>222</v>
      </c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</row>
    <row r="692" spans="1:18" x14ac:dyDescent="0.2">
      <c r="A692" s="42"/>
      <c r="B692" s="42"/>
      <c r="C692" s="42"/>
      <c r="D692" s="42"/>
      <c r="E692" s="42" t="s">
        <v>51</v>
      </c>
      <c r="F692" s="45">
        <v>119000</v>
      </c>
      <c r="G692" s="42"/>
      <c r="H692" s="45">
        <v>0</v>
      </c>
      <c r="I692" s="42"/>
      <c r="J692" s="45">
        <v>123000</v>
      </c>
      <c r="K692" s="42"/>
      <c r="L692" s="45">
        <v>-4000</v>
      </c>
      <c r="M692" s="42"/>
      <c r="N692" s="45">
        <v>0</v>
      </c>
      <c r="O692" s="42"/>
      <c r="P692" s="45">
        <v>119000</v>
      </c>
      <c r="Q692" s="42"/>
      <c r="R692" s="45">
        <v>0</v>
      </c>
    </row>
    <row r="693" spans="1:18" x14ac:dyDescent="0.2">
      <c r="A693" s="42"/>
      <c r="B693" s="42"/>
      <c r="C693" s="42" t="s">
        <v>286</v>
      </c>
      <c r="D693" s="42"/>
      <c r="E693" s="42"/>
      <c r="F693" s="45">
        <v>93000</v>
      </c>
      <c r="G693" s="42"/>
      <c r="H693" s="45">
        <v>93000</v>
      </c>
      <c r="I693" s="42"/>
      <c r="J693" s="45">
        <v>0</v>
      </c>
      <c r="K693" s="42"/>
      <c r="L693" s="45">
        <v>0</v>
      </c>
      <c r="M693" s="42"/>
      <c r="N693" s="45">
        <v>0</v>
      </c>
      <c r="O693" s="42"/>
      <c r="P693" s="45">
        <v>93000</v>
      </c>
      <c r="Q693" s="42"/>
      <c r="R693" s="45">
        <v>0</v>
      </c>
    </row>
    <row r="694" spans="1:18" x14ac:dyDescent="0.2">
      <c r="A694" s="42"/>
      <c r="B694" s="42"/>
      <c r="C694" s="42" t="s">
        <v>287</v>
      </c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</row>
    <row r="695" spans="1:18" x14ac:dyDescent="0.2">
      <c r="A695" s="42"/>
      <c r="B695" s="42"/>
      <c r="C695" s="42"/>
      <c r="D695" s="42"/>
      <c r="E695" s="42" t="s">
        <v>288</v>
      </c>
      <c r="F695" s="45">
        <v>694000</v>
      </c>
      <c r="G695" s="42"/>
      <c r="H695" s="45">
        <v>0</v>
      </c>
      <c r="I695" s="42"/>
      <c r="J695" s="45">
        <v>15000</v>
      </c>
      <c r="K695" s="42"/>
      <c r="L695" s="45">
        <v>679000</v>
      </c>
      <c r="M695" s="42"/>
      <c r="N695" s="45">
        <v>178000</v>
      </c>
      <c r="O695" s="42"/>
      <c r="P695" s="45">
        <v>516000</v>
      </c>
      <c r="Q695" s="42"/>
      <c r="R695" s="45">
        <v>0</v>
      </c>
    </row>
    <row r="696" spans="1:18" x14ac:dyDescent="0.2">
      <c r="A696" s="42"/>
      <c r="B696" s="42"/>
      <c r="C696" s="42" t="s">
        <v>313</v>
      </c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</row>
    <row r="697" spans="1:18" x14ac:dyDescent="0.2">
      <c r="A697" s="42"/>
      <c r="B697" s="42"/>
      <c r="C697" s="42" t="s">
        <v>228</v>
      </c>
      <c r="D697" s="42"/>
      <c r="E697" s="42"/>
      <c r="F697" s="45">
        <v>1930000</v>
      </c>
      <c r="G697" s="42"/>
      <c r="H697" s="45">
        <v>0</v>
      </c>
      <c r="I697" s="42"/>
      <c r="J697" s="45">
        <v>1041000</v>
      </c>
      <c r="K697" s="42"/>
      <c r="L697" s="45">
        <v>889000</v>
      </c>
      <c r="M697" s="42"/>
      <c r="N697" s="45">
        <v>1057000</v>
      </c>
      <c r="O697" s="42"/>
      <c r="P697" s="45">
        <v>873000</v>
      </c>
      <c r="Q697" s="42"/>
      <c r="R697" s="45">
        <v>0</v>
      </c>
    </row>
    <row r="698" spans="1:18" x14ac:dyDescent="0.2">
      <c r="A698" s="42"/>
      <c r="B698" s="42"/>
      <c r="C698" s="42" t="s">
        <v>229</v>
      </c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</row>
    <row r="699" spans="1:18" x14ac:dyDescent="0.2">
      <c r="A699" s="42"/>
      <c r="B699" s="42"/>
      <c r="C699" s="42"/>
      <c r="D699" s="42"/>
      <c r="E699" s="42" t="s">
        <v>230</v>
      </c>
      <c r="F699" s="45">
        <v>0</v>
      </c>
      <c r="G699" s="42"/>
      <c r="H699" s="45">
        <v>0</v>
      </c>
      <c r="I699" s="42"/>
      <c r="J699" s="45">
        <v>0</v>
      </c>
      <c r="K699" s="42"/>
      <c r="L699" s="45">
        <v>0</v>
      </c>
      <c r="M699" s="42"/>
      <c r="N699" s="45">
        <v>0</v>
      </c>
      <c r="O699" s="42"/>
      <c r="P699" s="45">
        <v>0</v>
      </c>
      <c r="Q699" s="42"/>
      <c r="R699" s="45">
        <v>0</v>
      </c>
    </row>
    <row r="700" spans="1:18" x14ac:dyDescent="0.2">
      <c r="A700" s="42"/>
      <c r="B700" s="42"/>
      <c r="C700" s="42" t="s">
        <v>231</v>
      </c>
      <c r="D700" s="42"/>
      <c r="E700" s="42"/>
      <c r="F700" s="45">
        <v>20406000</v>
      </c>
      <c r="G700" s="42"/>
      <c r="H700" s="45">
        <v>1030000</v>
      </c>
      <c r="I700" s="42"/>
      <c r="J700" s="45">
        <v>12585000</v>
      </c>
      <c r="K700" s="42"/>
      <c r="L700" s="45">
        <v>6791000</v>
      </c>
      <c r="M700" s="42"/>
      <c r="N700" s="45">
        <v>12356000</v>
      </c>
      <c r="O700" s="42"/>
      <c r="P700" s="45">
        <v>8081000</v>
      </c>
      <c r="Q700" s="42"/>
      <c r="R700" s="45">
        <v>31000</v>
      </c>
    </row>
    <row r="701" spans="1:18" x14ac:dyDescent="0.2">
      <c r="A701" s="42"/>
      <c r="B701" s="42"/>
      <c r="C701" s="42" t="s">
        <v>314</v>
      </c>
      <c r="D701" s="42"/>
      <c r="E701" s="42"/>
      <c r="F701" s="45">
        <v>-91000</v>
      </c>
      <c r="G701" s="42"/>
      <c r="H701" s="45">
        <v>0</v>
      </c>
      <c r="I701" s="42"/>
      <c r="J701" s="45">
        <v>-91000</v>
      </c>
      <c r="K701" s="42"/>
      <c r="L701" s="45">
        <v>0</v>
      </c>
      <c r="M701" s="42"/>
      <c r="N701" s="45">
        <v>0</v>
      </c>
      <c r="O701" s="42"/>
      <c r="P701" s="45">
        <v>0</v>
      </c>
      <c r="Q701" s="42"/>
      <c r="R701" s="45">
        <v>91000</v>
      </c>
    </row>
    <row r="702" spans="1:18" x14ac:dyDescent="0.2">
      <c r="A702" s="42"/>
      <c r="B702" s="42"/>
      <c r="C702" s="42" t="s">
        <v>315</v>
      </c>
      <c r="D702" s="42"/>
      <c r="E702" s="42"/>
      <c r="F702" s="45">
        <v>56000</v>
      </c>
      <c r="G702" s="42"/>
      <c r="H702" s="45">
        <v>0</v>
      </c>
      <c r="I702" s="42"/>
      <c r="J702" s="45">
        <v>0</v>
      </c>
      <c r="K702" s="42"/>
      <c r="L702" s="45">
        <v>56000</v>
      </c>
      <c r="M702" s="42"/>
      <c r="N702" s="45">
        <v>0</v>
      </c>
      <c r="O702" s="42"/>
      <c r="P702" s="45">
        <v>56000</v>
      </c>
      <c r="Q702" s="42"/>
      <c r="R702" s="45">
        <v>0</v>
      </c>
    </row>
    <row r="703" spans="1:18" x14ac:dyDescent="0.2">
      <c r="A703" s="42"/>
      <c r="B703" s="42"/>
      <c r="C703" s="42" t="s">
        <v>233</v>
      </c>
      <c r="D703" s="42"/>
      <c r="E703" s="42"/>
      <c r="F703" s="45">
        <v>9000</v>
      </c>
      <c r="G703" s="42"/>
      <c r="H703" s="45">
        <v>0</v>
      </c>
      <c r="I703" s="42"/>
      <c r="J703" s="45">
        <v>0</v>
      </c>
      <c r="K703" s="42"/>
      <c r="L703" s="45">
        <v>9000</v>
      </c>
      <c r="M703" s="42"/>
      <c r="N703" s="45">
        <v>9000</v>
      </c>
      <c r="O703" s="42"/>
      <c r="P703" s="45">
        <v>0</v>
      </c>
      <c r="Q703" s="42"/>
      <c r="R703" s="45">
        <v>0</v>
      </c>
    </row>
    <row r="704" spans="1:18" x14ac:dyDescent="0.2">
      <c r="A704" s="42"/>
      <c r="B704" s="42"/>
      <c r="C704" s="42" t="s">
        <v>316</v>
      </c>
      <c r="D704" s="42"/>
      <c r="E704" s="42"/>
      <c r="F704" s="45">
        <v>975000</v>
      </c>
      <c r="G704" s="42"/>
      <c r="H704" s="45">
        <v>0</v>
      </c>
      <c r="I704" s="42"/>
      <c r="J704" s="45">
        <v>586000</v>
      </c>
      <c r="K704" s="42"/>
      <c r="L704" s="45">
        <v>389000</v>
      </c>
      <c r="M704" s="42"/>
      <c r="N704" s="45">
        <v>619000</v>
      </c>
      <c r="O704" s="42"/>
      <c r="P704" s="45">
        <v>356000</v>
      </c>
      <c r="Q704" s="42"/>
      <c r="R704" s="45">
        <v>0</v>
      </c>
    </row>
    <row r="705" spans="1:18" x14ac:dyDescent="0.2">
      <c r="A705" s="42"/>
      <c r="B705" s="42"/>
      <c r="C705" s="42" t="s">
        <v>234</v>
      </c>
      <c r="D705" s="42"/>
      <c r="E705" s="42"/>
      <c r="F705" s="45">
        <v>657000</v>
      </c>
      <c r="G705" s="42"/>
      <c r="H705" s="45">
        <v>-2241000</v>
      </c>
      <c r="I705" s="42"/>
      <c r="J705" s="45">
        <v>2599000</v>
      </c>
      <c r="K705" s="42"/>
      <c r="L705" s="45">
        <v>299000</v>
      </c>
      <c r="M705" s="42"/>
      <c r="N705" s="45">
        <v>113000</v>
      </c>
      <c r="O705" s="42"/>
      <c r="P705" s="45">
        <v>544000</v>
      </c>
      <c r="Q705" s="42"/>
      <c r="R705" s="45">
        <v>0</v>
      </c>
    </row>
    <row r="706" spans="1:18" x14ac:dyDescent="0.2">
      <c r="A706" s="42"/>
      <c r="B706" s="42"/>
      <c r="C706" s="42" t="s">
        <v>236</v>
      </c>
      <c r="D706" s="42"/>
      <c r="E706" s="42"/>
      <c r="F706" s="45">
        <v>814000</v>
      </c>
      <c r="G706" s="42"/>
      <c r="H706" s="45">
        <v>0</v>
      </c>
      <c r="I706" s="42"/>
      <c r="J706" s="45">
        <v>121000</v>
      </c>
      <c r="K706" s="42"/>
      <c r="L706" s="45">
        <v>693000</v>
      </c>
      <c r="M706" s="42"/>
      <c r="N706" s="45">
        <v>405000</v>
      </c>
      <c r="O706" s="42"/>
      <c r="P706" s="45">
        <v>409000</v>
      </c>
      <c r="Q706" s="42"/>
      <c r="R706" s="45">
        <v>0</v>
      </c>
    </row>
    <row r="707" spans="1:18" x14ac:dyDescent="0.2">
      <c r="A707" s="42"/>
      <c r="B707" s="42"/>
      <c r="C707" s="42" t="s">
        <v>317</v>
      </c>
      <c r="D707" s="42"/>
      <c r="E707" s="42"/>
      <c r="F707" s="45">
        <v>137000</v>
      </c>
      <c r="G707" s="42"/>
      <c r="H707" s="45">
        <v>0</v>
      </c>
      <c r="I707" s="42"/>
      <c r="J707" s="45">
        <v>0</v>
      </c>
      <c r="K707" s="42"/>
      <c r="L707" s="45">
        <v>137000</v>
      </c>
      <c r="M707" s="42"/>
      <c r="N707" s="45">
        <v>95000</v>
      </c>
      <c r="O707" s="42"/>
      <c r="P707" s="45">
        <v>42000</v>
      </c>
      <c r="Q707" s="42"/>
      <c r="R707" s="45">
        <v>0</v>
      </c>
    </row>
    <row r="708" spans="1:18" x14ac:dyDescent="0.2">
      <c r="A708" s="42"/>
      <c r="B708" s="42"/>
      <c r="C708" s="42" t="s">
        <v>318</v>
      </c>
      <c r="D708" s="42"/>
      <c r="E708" s="42"/>
      <c r="F708" s="45">
        <v>886000</v>
      </c>
      <c r="G708" s="42"/>
      <c r="H708" s="45">
        <v>0</v>
      </c>
      <c r="I708" s="42"/>
      <c r="J708" s="45">
        <v>747000</v>
      </c>
      <c r="K708" s="42"/>
      <c r="L708" s="45">
        <v>139000</v>
      </c>
      <c r="M708" s="42"/>
      <c r="N708" s="45">
        <v>468000</v>
      </c>
      <c r="O708" s="42"/>
      <c r="P708" s="45">
        <v>421000</v>
      </c>
      <c r="Q708" s="42"/>
      <c r="R708" s="45">
        <v>3000</v>
      </c>
    </row>
    <row r="709" spans="1:18" x14ac:dyDescent="0.2">
      <c r="A709" s="42"/>
      <c r="B709" s="42"/>
      <c r="C709" s="42" t="s">
        <v>240</v>
      </c>
      <c r="D709" s="42"/>
      <c r="E709" s="42"/>
      <c r="F709" s="45">
        <v>111000</v>
      </c>
      <c r="G709" s="42"/>
      <c r="H709" s="45">
        <v>0</v>
      </c>
      <c r="I709" s="42"/>
      <c r="J709" s="45">
        <v>111000</v>
      </c>
      <c r="K709" s="42"/>
      <c r="L709" s="45">
        <v>0</v>
      </c>
      <c r="M709" s="42"/>
      <c r="N709" s="45">
        <v>54000</v>
      </c>
      <c r="O709" s="42"/>
      <c r="P709" s="45">
        <v>57000</v>
      </c>
      <c r="Q709" s="42"/>
      <c r="R709" s="45">
        <v>0</v>
      </c>
    </row>
    <row r="710" spans="1:18" x14ac:dyDescent="0.2">
      <c r="A710" s="42" t="s">
        <v>22</v>
      </c>
      <c r="B710" s="42"/>
      <c r="C710" s="42" t="s">
        <v>319</v>
      </c>
      <c r="D710" s="42"/>
      <c r="E710" s="42"/>
      <c r="F710" s="45">
        <v>412000</v>
      </c>
      <c r="G710" s="42"/>
      <c r="H710" s="45">
        <v>0</v>
      </c>
      <c r="I710" s="42"/>
      <c r="J710" s="45">
        <v>181000</v>
      </c>
      <c r="K710" s="42"/>
      <c r="L710" s="45">
        <v>231000</v>
      </c>
      <c r="M710" s="42"/>
      <c r="N710" s="45">
        <v>0</v>
      </c>
      <c r="O710" s="42"/>
      <c r="P710" s="45">
        <v>412000</v>
      </c>
      <c r="Q710" s="42"/>
      <c r="R710" s="45">
        <v>0</v>
      </c>
    </row>
    <row r="711" spans="1:18" x14ac:dyDescent="0.2">
      <c r="A711" s="42"/>
      <c r="B711" s="42"/>
      <c r="C711" s="42" t="s">
        <v>244</v>
      </c>
      <c r="D711" s="42"/>
      <c r="E711" s="42"/>
      <c r="F711" s="43">
        <v>426000</v>
      </c>
      <c r="G711" s="42"/>
      <c r="H711" s="43">
        <v>-70000</v>
      </c>
      <c r="I711" s="42"/>
      <c r="J711" s="43">
        <v>191000</v>
      </c>
      <c r="K711" s="42"/>
      <c r="L711" s="43">
        <v>305000</v>
      </c>
      <c r="M711" s="42"/>
      <c r="N711" s="43">
        <v>403000</v>
      </c>
      <c r="O711" s="42"/>
      <c r="P711" s="43">
        <v>23000</v>
      </c>
      <c r="Q711" s="42"/>
      <c r="R711" s="43">
        <v>0</v>
      </c>
    </row>
    <row r="712" spans="1:18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</row>
    <row r="713" spans="1:18" x14ac:dyDescent="0.2">
      <c r="A713" s="42"/>
      <c r="B713" s="42"/>
      <c r="C713" s="42"/>
      <c r="D713" s="42"/>
      <c r="E713" s="42" t="s">
        <v>3</v>
      </c>
      <c r="F713" s="43">
        <v>69433000</v>
      </c>
      <c r="G713" s="42"/>
      <c r="H713" s="43">
        <v>1776000</v>
      </c>
      <c r="I713" s="42"/>
      <c r="J713" s="43">
        <v>36039000</v>
      </c>
      <c r="K713" s="42"/>
      <c r="L713" s="43">
        <v>31618000</v>
      </c>
      <c r="M713" s="42"/>
      <c r="N713" s="43">
        <v>32374000</v>
      </c>
      <c r="O713" s="42"/>
      <c r="P713" s="43">
        <v>39022000</v>
      </c>
      <c r="Q713" s="42"/>
      <c r="R713" s="43">
        <v>1963000</v>
      </c>
    </row>
    <row r="714" spans="1:18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</row>
    <row r="715" spans="1:18" x14ac:dyDescent="0.2">
      <c r="A715" s="42"/>
      <c r="B715" s="42" t="s">
        <v>29</v>
      </c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</row>
    <row r="716" spans="1:18" x14ac:dyDescent="0.2">
      <c r="A716" s="42"/>
      <c r="B716" s="42"/>
      <c r="C716" s="42" t="s">
        <v>320</v>
      </c>
      <c r="D716" s="42"/>
      <c r="E716" s="42"/>
      <c r="F716" s="45">
        <v>0</v>
      </c>
      <c r="G716" s="42"/>
      <c r="H716" s="45">
        <v>0</v>
      </c>
      <c r="I716" s="42"/>
      <c r="J716" s="45">
        <v>0</v>
      </c>
      <c r="K716" s="42"/>
      <c r="L716" s="45">
        <v>0</v>
      </c>
      <c r="M716" s="42"/>
      <c r="N716" s="45">
        <v>0</v>
      </c>
      <c r="O716" s="42"/>
      <c r="P716" s="45">
        <v>0</v>
      </c>
      <c r="Q716" s="42"/>
      <c r="R716" s="45">
        <v>0</v>
      </c>
    </row>
    <row r="717" spans="1:18" x14ac:dyDescent="0.2">
      <c r="A717" s="42"/>
      <c r="B717" s="42"/>
      <c r="C717" s="42" t="s">
        <v>321</v>
      </c>
      <c r="D717" s="42"/>
      <c r="E717" s="42"/>
      <c r="F717" s="45">
        <v>0</v>
      </c>
      <c r="G717" s="42"/>
      <c r="H717" s="45">
        <v>0</v>
      </c>
      <c r="I717" s="42"/>
      <c r="J717" s="45">
        <v>0</v>
      </c>
      <c r="K717" s="42"/>
      <c r="L717" s="45">
        <v>0</v>
      </c>
      <c r="M717" s="42"/>
      <c r="N717" s="45">
        <v>0</v>
      </c>
      <c r="O717" s="42"/>
      <c r="P717" s="45">
        <v>0</v>
      </c>
      <c r="Q717" s="42"/>
      <c r="R717" s="45">
        <v>0</v>
      </c>
    </row>
    <row r="718" spans="1:18" x14ac:dyDescent="0.2">
      <c r="A718" s="42"/>
      <c r="B718" s="42"/>
      <c r="C718" s="42" t="s">
        <v>307</v>
      </c>
      <c r="D718" s="42"/>
      <c r="E718" s="42"/>
      <c r="F718" s="45">
        <v>307000</v>
      </c>
      <c r="G718" s="42"/>
      <c r="H718" s="45">
        <v>49000</v>
      </c>
      <c r="I718" s="42"/>
      <c r="J718" s="45">
        <v>0</v>
      </c>
      <c r="K718" s="42"/>
      <c r="L718" s="45">
        <v>258000</v>
      </c>
      <c r="M718" s="42"/>
      <c r="N718" s="45">
        <v>210000</v>
      </c>
      <c r="O718" s="42"/>
      <c r="P718" s="45">
        <v>97000</v>
      </c>
      <c r="Q718" s="42"/>
      <c r="R718" s="45">
        <v>0</v>
      </c>
    </row>
    <row r="719" spans="1:18" x14ac:dyDescent="0.2">
      <c r="A719" s="42"/>
      <c r="B719" s="42"/>
      <c r="C719" s="42" t="s">
        <v>322</v>
      </c>
      <c r="D719" s="42"/>
      <c r="E719" s="42"/>
      <c r="F719" s="45">
        <v>0</v>
      </c>
      <c r="G719" s="42"/>
      <c r="H719" s="45">
        <v>0</v>
      </c>
      <c r="I719" s="42"/>
      <c r="J719" s="45">
        <v>0</v>
      </c>
      <c r="K719" s="42"/>
      <c r="L719" s="45">
        <v>0</v>
      </c>
      <c r="M719" s="42"/>
      <c r="N719" s="45">
        <v>0</v>
      </c>
      <c r="O719" s="42"/>
      <c r="P719" s="45">
        <v>0</v>
      </c>
      <c r="Q719" s="42"/>
      <c r="R719" s="45">
        <v>0</v>
      </c>
    </row>
    <row r="720" spans="1:18" x14ac:dyDescent="0.2">
      <c r="A720" s="42"/>
      <c r="B720" s="42"/>
      <c r="C720" s="42" t="s">
        <v>323</v>
      </c>
      <c r="D720" s="42"/>
      <c r="E720" s="42"/>
      <c r="F720" s="45">
        <v>4820000</v>
      </c>
      <c r="G720" s="42"/>
      <c r="H720" s="45">
        <v>2256000</v>
      </c>
      <c r="I720" s="42"/>
      <c r="J720" s="45">
        <v>2564000</v>
      </c>
      <c r="K720" s="42"/>
      <c r="L720" s="45">
        <v>0</v>
      </c>
      <c r="M720" s="42"/>
      <c r="N720" s="45">
        <v>2868000</v>
      </c>
      <c r="O720" s="42"/>
      <c r="P720" s="45">
        <v>1987000</v>
      </c>
      <c r="Q720" s="42"/>
      <c r="R720" s="45">
        <v>35000</v>
      </c>
    </row>
    <row r="721" spans="1:18" x14ac:dyDescent="0.2">
      <c r="A721" s="42"/>
      <c r="B721" s="42"/>
      <c r="C721" s="42" t="s">
        <v>324</v>
      </c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</row>
    <row r="722" spans="1:18" x14ac:dyDescent="0.2">
      <c r="A722" s="42"/>
      <c r="B722" s="42"/>
      <c r="C722" s="42"/>
      <c r="D722" s="42"/>
      <c r="E722" s="42" t="s">
        <v>51</v>
      </c>
      <c r="F722" s="45">
        <v>1513000</v>
      </c>
      <c r="G722" s="42"/>
      <c r="H722" s="45">
        <v>298000</v>
      </c>
      <c r="I722" s="42"/>
      <c r="J722" s="45">
        <v>1114000</v>
      </c>
      <c r="K722" s="42"/>
      <c r="L722" s="45">
        <v>101000</v>
      </c>
      <c r="M722" s="42"/>
      <c r="N722" s="45">
        <v>1050000</v>
      </c>
      <c r="O722" s="42"/>
      <c r="P722" s="45">
        <v>4120000</v>
      </c>
      <c r="Q722" s="42"/>
      <c r="R722" s="45">
        <v>3657000</v>
      </c>
    </row>
    <row r="723" spans="1:18" x14ac:dyDescent="0.2">
      <c r="A723" s="42"/>
      <c r="B723" s="42"/>
      <c r="C723" s="42" t="s">
        <v>325</v>
      </c>
      <c r="D723" s="42"/>
      <c r="E723" s="42"/>
      <c r="F723" s="45">
        <v>390000</v>
      </c>
      <c r="G723" s="42"/>
      <c r="H723" s="45">
        <v>4000</v>
      </c>
      <c r="I723" s="42"/>
      <c r="J723" s="45">
        <v>333000</v>
      </c>
      <c r="K723" s="42"/>
      <c r="L723" s="45">
        <v>53000</v>
      </c>
      <c r="M723" s="42"/>
      <c r="N723" s="45">
        <v>223000</v>
      </c>
      <c r="O723" s="42"/>
      <c r="P723" s="45">
        <v>167000</v>
      </c>
      <c r="Q723" s="42"/>
      <c r="R723" s="45">
        <v>0</v>
      </c>
    </row>
    <row r="724" spans="1:18" x14ac:dyDescent="0.2">
      <c r="A724" s="42"/>
      <c r="B724" s="42"/>
      <c r="C724" s="42" t="s">
        <v>216</v>
      </c>
      <c r="D724" s="42"/>
      <c r="E724" s="42"/>
      <c r="F724" s="45">
        <v>359000</v>
      </c>
      <c r="G724" s="42"/>
      <c r="H724" s="45">
        <v>245000</v>
      </c>
      <c r="I724" s="42"/>
      <c r="J724" s="45">
        <v>114000</v>
      </c>
      <c r="K724" s="42"/>
      <c r="L724" s="45">
        <v>0</v>
      </c>
      <c r="M724" s="42"/>
      <c r="N724" s="45">
        <v>244000</v>
      </c>
      <c r="O724" s="42"/>
      <c r="P724" s="45">
        <v>115000</v>
      </c>
      <c r="Q724" s="42"/>
      <c r="R724" s="45">
        <v>0</v>
      </c>
    </row>
    <row r="725" spans="1:18" x14ac:dyDescent="0.2">
      <c r="A725" s="42"/>
      <c r="B725" s="42"/>
      <c r="C725" s="42" t="s">
        <v>326</v>
      </c>
      <c r="D725" s="42"/>
      <c r="E725" s="42"/>
      <c r="F725" s="45">
        <v>523000</v>
      </c>
      <c r="G725" s="42"/>
      <c r="H725" s="45">
        <v>364000</v>
      </c>
      <c r="I725" s="42"/>
      <c r="J725" s="45">
        <v>159000</v>
      </c>
      <c r="K725" s="42"/>
      <c r="L725" s="45">
        <v>0</v>
      </c>
      <c r="M725" s="42"/>
      <c r="N725" s="45">
        <v>3587000</v>
      </c>
      <c r="O725" s="42"/>
      <c r="P725" s="45">
        <v>7936000</v>
      </c>
      <c r="Q725" s="42"/>
      <c r="R725" s="45">
        <v>11000000</v>
      </c>
    </row>
    <row r="726" spans="1:18" x14ac:dyDescent="0.2">
      <c r="A726" s="42"/>
      <c r="B726" s="42"/>
      <c r="C726" s="42" t="s">
        <v>327</v>
      </c>
      <c r="D726" s="42"/>
      <c r="E726" s="42"/>
      <c r="F726" s="45">
        <v>6345000</v>
      </c>
      <c r="G726" s="42"/>
      <c r="H726" s="45">
        <v>17000</v>
      </c>
      <c r="I726" s="42"/>
      <c r="J726" s="45">
        <v>6328000</v>
      </c>
      <c r="K726" s="42"/>
      <c r="L726" s="45">
        <v>0</v>
      </c>
      <c r="M726" s="42"/>
      <c r="N726" s="45">
        <v>3350000</v>
      </c>
      <c r="O726" s="42"/>
      <c r="P726" s="45">
        <v>12109000</v>
      </c>
      <c r="Q726" s="42"/>
      <c r="R726" s="45">
        <v>9114000</v>
      </c>
    </row>
    <row r="727" spans="1:18" x14ac:dyDescent="0.2">
      <c r="A727" s="42"/>
      <c r="B727" s="42"/>
      <c r="C727" s="42" t="s">
        <v>275</v>
      </c>
      <c r="D727" s="42"/>
      <c r="E727" s="42"/>
      <c r="F727" s="45">
        <v>-1000</v>
      </c>
      <c r="G727" s="42"/>
      <c r="H727" s="45">
        <v>0</v>
      </c>
      <c r="I727" s="42"/>
      <c r="J727" s="45">
        <v>-1000</v>
      </c>
      <c r="K727" s="42"/>
      <c r="L727" s="45">
        <v>0</v>
      </c>
      <c r="M727" s="42"/>
      <c r="N727" s="45">
        <v>0</v>
      </c>
      <c r="O727" s="42"/>
      <c r="P727" s="45">
        <v>1000</v>
      </c>
      <c r="Q727" s="42"/>
      <c r="R727" s="45">
        <v>2000</v>
      </c>
    </row>
    <row r="728" spans="1:18" x14ac:dyDescent="0.2">
      <c r="A728" s="42" t="s">
        <v>22</v>
      </c>
      <c r="B728" s="42"/>
      <c r="C728" s="42" t="s">
        <v>328</v>
      </c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</row>
    <row r="729" spans="1:18" x14ac:dyDescent="0.2">
      <c r="A729" s="42"/>
      <c r="B729" s="42"/>
      <c r="C729" s="42"/>
      <c r="D729" s="42"/>
      <c r="E729" s="42" t="s">
        <v>329</v>
      </c>
      <c r="F729" s="45">
        <v>1505000</v>
      </c>
      <c r="G729" s="42"/>
      <c r="H729" s="45">
        <v>248000</v>
      </c>
      <c r="I729" s="42"/>
      <c r="J729" s="45">
        <v>1078000</v>
      </c>
      <c r="K729" s="42"/>
      <c r="L729" s="45">
        <v>179000</v>
      </c>
      <c r="M729" s="42"/>
      <c r="N729" s="45">
        <v>718000</v>
      </c>
      <c r="O729" s="42"/>
      <c r="P729" s="45">
        <v>787000</v>
      </c>
      <c r="Q729" s="42"/>
      <c r="R729" s="45">
        <v>0</v>
      </c>
    </row>
    <row r="730" spans="1:18" x14ac:dyDescent="0.2">
      <c r="A730" s="42"/>
      <c r="B730" s="42"/>
      <c r="C730" s="42" t="s">
        <v>330</v>
      </c>
      <c r="D730" s="42"/>
      <c r="E730" s="42"/>
      <c r="F730" s="45">
        <v>4197000</v>
      </c>
      <c r="G730" s="42"/>
      <c r="H730" s="45">
        <v>693000</v>
      </c>
      <c r="I730" s="42"/>
      <c r="J730" s="45">
        <v>3090000</v>
      </c>
      <c r="K730" s="42"/>
      <c r="L730" s="45">
        <v>414000</v>
      </c>
      <c r="M730" s="42"/>
      <c r="N730" s="45">
        <v>2466000</v>
      </c>
      <c r="O730" s="42"/>
      <c r="P730" s="45">
        <v>1738000</v>
      </c>
      <c r="Q730" s="42"/>
      <c r="R730" s="45">
        <v>7000</v>
      </c>
    </row>
    <row r="731" spans="1:18" x14ac:dyDescent="0.2">
      <c r="A731" s="42"/>
      <c r="B731" s="42"/>
      <c r="C731" s="42" t="s">
        <v>219</v>
      </c>
      <c r="D731" s="42"/>
      <c r="E731" s="42"/>
      <c r="F731" s="45">
        <v>130000</v>
      </c>
      <c r="G731" s="42"/>
      <c r="H731" s="45">
        <v>79000</v>
      </c>
      <c r="I731" s="42"/>
      <c r="J731" s="45">
        <v>5000</v>
      </c>
      <c r="K731" s="42"/>
      <c r="L731" s="45">
        <v>46000</v>
      </c>
      <c r="M731" s="42"/>
      <c r="N731" s="45">
        <v>84000</v>
      </c>
      <c r="O731" s="42"/>
      <c r="P731" s="45">
        <v>46000</v>
      </c>
      <c r="Q731" s="42"/>
      <c r="R731" s="45">
        <v>0</v>
      </c>
    </row>
    <row r="732" spans="1:18" x14ac:dyDescent="0.2">
      <c r="A732" s="42"/>
      <c r="B732" s="42"/>
      <c r="C732" s="42" t="s">
        <v>220</v>
      </c>
      <c r="D732" s="42"/>
      <c r="E732" s="42"/>
      <c r="F732" s="45">
        <v>178000</v>
      </c>
      <c r="G732" s="42"/>
      <c r="H732" s="45">
        <v>73000</v>
      </c>
      <c r="I732" s="42"/>
      <c r="J732" s="45">
        <v>63000</v>
      </c>
      <c r="K732" s="42"/>
      <c r="L732" s="45">
        <v>42000</v>
      </c>
      <c r="M732" s="42"/>
      <c r="N732" s="45">
        <v>293000</v>
      </c>
      <c r="O732" s="42"/>
      <c r="P732" s="45">
        <v>462000</v>
      </c>
      <c r="Q732" s="42"/>
      <c r="R732" s="45">
        <v>577000</v>
      </c>
    </row>
    <row r="733" spans="1:18" x14ac:dyDescent="0.2">
      <c r="A733" s="42"/>
      <c r="B733" s="42"/>
      <c r="C733" s="42" t="s">
        <v>287</v>
      </c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</row>
    <row r="734" spans="1:18" x14ac:dyDescent="0.2">
      <c r="A734" s="42"/>
      <c r="B734" s="42"/>
      <c r="C734" s="42"/>
      <c r="D734" s="42"/>
      <c r="E734" s="42" t="s">
        <v>288</v>
      </c>
      <c r="F734" s="45">
        <v>68000</v>
      </c>
      <c r="G734" s="42"/>
      <c r="H734" s="45">
        <v>0</v>
      </c>
      <c r="I734" s="42"/>
      <c r="J734" s="45">
        <v>0</v>
      </c>
      <c r="K734" s="42"/>
      <c r="L734" s="45">
        <v>68000</v>
      </c>
      <c r="M734" s="42"/>
      <c r="N734" s="45">
        <v>44000</v>
      </c>
      <c r="O734" s="42"/>
      <c r="P734" s="45">
        <v>24000</v>
      </c>
      <c r="Q734" s="42"/>
      <c r="R734" s="45">
        <v>0</v>
      </c>
    </row>
    <row r="735" spans="1:18" x14ac:dyDescent="0.2">
      <c r="A735" s="42"/>
      <c r="B735" s="42"/>
      <c r="C735" s="42" t="s">
        <v>331</v>
      </c>
      <c r="D735" s="42"/>
      <c r="E735" s="42"/>
      <c r="F735" s="45">
        <v>0</v>
      </c>
      <c r="G735" s="42"/>
      <c r="H735" s="45">
        <v>0</v>
      </c>
      <c r="I735" s="42"/>
      <c r="J735" s="45">
        <v>0</v>
      </c>
      <c r="K735" s="42"/>
      <c r="L735" s="45">
        <v>0</v>
      </c>
      <c r="M735" s="42"/>
      <c r="N735" s="45">
        <v>0</v>
      </c>
      <c r="O735" s="42"/>
      <c r="P735" s="45">
        <v>0</v>
      </c>
      <c r="Q735" s="42"/>
      <c r="R735" s="45">
        <v>0</v>
      </c>
    </row>
    <row r="736" spans="1:18" x14ac:dyDescent="0.2">
      <c r="A736" s="42"/>
      <c r="B736" s="42"/>
      <c r="C736" s="42" t="s">
        <v>332</v>
      </c>
      <c r="D736" s="42"/>
      <c r="E736" s="42"/>
      <c r="F736" s="45">
        <v>68679000</v>
      </c>
      <c r="G736" s="42"/>
      <c r="H736" s="45">
        <v>46058000</v>
      </c>
      <c r="I736" s="42"/>
      <c r="J736" s="45">
        <v>6868000</v>
      </c>
      <c r="K736" s="42"/>
      <c r="L736" s="45">
        <v>15753000</v>
      </c>
      <c r="M736" s="42"/>
      <c r="N736" s="45">
        <v>27861000</v>
      </c>
      <c r="O736" s="42"/>
      <c r="P736" s="45">
        <v>40818000</v>
      </c>
      <c r="Q736" s="42"/>
      <c r="R736" s="45">
        <v>0</v>
      </c>
    </row>
    <row r="737" spans="1:18" x14ac:dyDescent="0.2">
      <c r="A737" s="42"/>
      <c r="B737" s="42"/>
      <c r="C737" s="42" t="s">
        <v>232</v>
      </c>
      <c r="D737" s="42"/>
      <c r="E737" s="42"/>
      <c r="F737" s="45">
        <v>1450000</v>
      </c>
      <c r="G737" s="42"/>
      <c r="H737" s="45">
        <v>566000</v>
      </c>
      <c r="I737" s="42"/>
      <c r="J737" s="45">
        <v>22000</v>
      </c>
      <c r="K737" s="42"/>
      <c r="L737" s="45">
        <v>862000</v>
      </c>
      <c r="M737" s="42"/>
      <c r="N737" s="45">
        <v>954000</v>
      </c>
      <c r="O737" s="42"/>
      <c r="P737" s="45">
        <v>497000</v>
      </c>
      <c r="Q737" s="42"/>
      <c r="R737" s="45">
        <v>1000</v>
      </c>
    </row>
    <row r="738" spans="1:18" x14ac:dyDescent="0.2">
      <c r="A738" s="42"/>
      <c r="B738" s="42"/>
      <c r="C738" s="42" t="s">
        <v>233</v>
      </c>
      <c r="D738" s="42"/>
      <c r="E738" s="42"/>
      <c r="F738" s="45">
        <v>1807000</v>
      </c>
      <c r="G738" s="42"/>
      <c r="H738" s="45">
        <v>1043000</v>
      </c>
      <c r="I738" s="42"/>
      <c r="J738" s="45">
        <v>32000</v>
      </c>
      <c r="K738" s="42"/>
      <c r="L738" s="45">
        <v>732000</v>
      </c>
      <c r="M738" s="42"/>
      <c r="N738" s="45">
        <v>1004000</v>
      </c>
      <c r="O738" s="42"/>
      <c r="P738" s="45">
        <v>957000</v>
      </c>
      <c r="Q738" s="42"/>
      <c r="R738" s="45">
        <v>154000</v>
      </c>
    </row>
    <row r="739" spans="1:18" x14ac:dyDescent="0.2">
      <c r="A739" s="42"/>
      <c r="B739" s="42"/>
      <c r="C739" s="42" t="s">
        <v>333</v>
      </c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</row>
    <row r="740" spans="1:18" x14ac:dyDescent="0.2">
      <c r="A740" s="42"/>
      <c r="B740" s="42"/>
      <c r="C740" s="42"/>
      <c r="D740" s="42"/>
      <c r="E740" s="42" t="s">
        <v>334</v>
      </c>
      <c r="F740" s="45">
        <v>102000</v>
      </c>
      <c r="G740" s="42"/>
      <c r="H740" s="45">
        <v>102000</v>
      </c>
      <c r="I740" s="42"/>
      <c r="J740" s="45">
        <v>0</v>
      </c>
      <c r="K740" s="42"/>
      <c r="L740" s="45">
        <v>0</v>
      </c>
      <c r="M740" s="42"/>
      <c r="N740" s="45">
        <v>73000</v>
      </c>
      <c r="O740" s="42"/>
      <c r="P740" s="45">
        <v>29000</v>
      </c>
      <c r="Q740" s="42"/>
      <c r="R740" s="45">
        <v>0</v>
      </c>
    </row>
    <row r="741" spans="1:18" x14ac:dyDescent="0.2">
      <c r="A741" s="42"/>
      <c r="B741" s="42"/>
      <c r="C741" s="42" t="s">
        <v>335</v>
      </c>
      <c r="D741" s="42"/>
      <c r="E741" s="42"/>
      <c r="F741" s="45">
        <v>2344000</v>
      </c>
      <c r="G741" s="42"/>
      <c r="H741" s="45">
        <v>2713000</v>
      </c>
      <c r="I741" s="42"/>
      <c r="J741" s="45">
        <v>-374000</v>
      </c>
      <c r="K741" s="42"/>
      <c r="L741" s="45">
        <v>5000</v>
      </c>
      <c r="M741" s="42"/>
      <c r="N741" s="45">
        <v>2454000</v>
      </c>
      <c r="O741" s="42"/>
      <c r="P741" s="45">
        <v>3459000</v>
      </c>
      <c r="Q741" s="42"/>
      <c r="R741" s="45">
        <v>3569000</v>
      </c>
    </row>
    <row r="742" spans="1:18" x14ac:dyDescent="0.2">
      <c r="A742" s="42"/>
      <c r="B742" s="42"/>
      <c r="C742" s="42" t="s">
        <v>336</v>
      </c>
      <c r="D742" s="42"/>
      <c r="E742" s="42"/>
      <c r="F742" s="45">
        <v>2197000</v>
      </c>
      <c r="G742" s="42"/>
      <c r="H742" s="45">
        <v>82000</v>
      </c>
      <c r="I742" s="42"/>
      <c r="J742" s="45">
        <v>2115000</v>
      </c>
      <c r="K742" s="42"/>
      <c r="L742" s="45">
        <v>0</v>
      </c>
      <c r="M742" s="42"/>
      <c r="N742" s="45">
        <v>1399000</v>
      </c>
      <c r="O742" s="42"/>
      <c r="P742" s="45">
        <v>798000</v>
      </c>
      <c r="Q742" s="42"/>
      <c r="R742" s="45">
        <v>0</v>
      </c>
    </row>
    <row r="743" spans="1:18" x14ac:dyDescent="0.2">
      <c r="A743" s="42"/>
      <c r="B743" s="42"/>
      <c r="C743" s="42" t="s">
        <v>234</v>
      </c>
      <c r="D743" s="42"/>
      <c r="E743" s="42"/>
      <c r="F743" s="45">
        <v>-2496000</v>
      </c>
      <c r="G743" s="42"/>
      <c r="H743" s="45">
        <v>8844000</v>
      </c>
      <c r="I743" s="42"/>
      <c r="J743" s="45">
        <v>-11452000</v>
      </c>
      <c r="K743" s="42"/>
      <c r="L743" s="45">
        <v>112000</v>
      </c>
      <c r="M743" s="42"/>
      <c r="N743" s="45">
        <v>135000</v>
      </c>
      <c r="O743" s="42"/>
      <c r="P743" s="45">
        <v>-2385000</v>
      </c>
      <c r="Q743" s="42"/>
      <c r="R743" s="45">
        <v>246000</v>
      </c>
    </row>
    <row r="744" spans="1:18" x14ac:dyDescent="0.2">
      <c r="A744" s="42"/>
      <c r="B744" s="42"/>
      <c r="C744" s="42" t="s">
        <v>337</v>
      </c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</row>
    <row r="745" spans="1:18" x14ac:dyDescent="0.2">
      <c r="A745" s="42"/>
      <c r="B745" s="42"/>
      <c r="C745" s="42"/>
      <c r="D745" s="42"/>
      <c r="E745" s="42" t="s">
        <v>338</v>
      </c>
      <c r="F745" s="45">
        <v>2568000</v>
      </c>
      <c r="G745" s="42"/>
      <c r="H745" s="45">
        <v>979000</v>
      </c>
      <c r="I745" s="42"/>
      <c r="J745" s="45">
        <v>1119000</v>
      </c>
      <c r="K745" s="42"/>
      <c r="L745" s="45">
        <v>470000</v>
      </c>
      <c r="M745" s="42"/>
      <c r="N745" s="45">
        <v>1423000</v>
      </c>
      <c r="O745" s="42"/>
      <c r="P745" s="45">
        <v>1150000</v>
      </c>
      <c r="Q745" s="42"/>
      <c r="R745" s="45">
        <v>5000</v>
      </c>
    </row>
    <row r="746" spans="1:18" x14ac:dyDescent="0.2">
      <c r="A746" s="42"/>
      <c r="B746" s="42"/>
      <c r="C746" s="42" t="s">
        <v>339</v>
      </c>
      <c r="D746" s="42"/>
      <c r="E746" s="42"/>
      <c r="F746" s="45">
        <v>4366000</v>
      </c>
      <c r="G746" s="42"/>
      <c r="H746" s="45">
        <v>-2000</v>
      </c>
      <c r="I746" s="42"/>
      <c r="J746" s="45">
        <v>4368000</v>
      </c>
      <c r="K746" s="42"/>
      <c r="L746" s="45">
        <v>0</v>
      </c>
      <c r="M746" s="42"/>
      <c r="N746" s="45">
        <v>3385000</v>
      </c>
      <c r="O746" s="42"/>
      <c r="P746" s="45">
        <v>981000</v>
      </c>
      <c r="Q746" s="42"/>
      <c r="R746" s="45">
        <v>0</v>
      </c>
    </row>
    <row r="747" spans="1:18" x14ac:dyDescent="0.2">
      <c r="A747" s="42"/>
      <c r="B747" s="42"/>
      <c r="C747" s="42" t="s">
        <v>297</v>
      </c>
      <c r="D747" s="42"/>
      <c r="E747" s="42"/>
      <c r="F747" s="45">
        <v>0</v>
      </c>
      <c r="G747" s="42"/>
      <c r="H747" s="45">
        <v>0</v>
      </c>
      <c r="I747" s="42"/>
      <c r="J747" s="45">
        <v>0</v>
      </c>
      <c r="K747" s="42"/>
      <c r="L747" s="45">
        <v>0</v>
      </c>
      <c r="M747" s="42"/>
      <c r="N747" s="45">
        <v>0</v>
      </c>
      <c r="O747" s="42"/>
      <c r="P747" s="45">
        <v>0</v>
      </c>
      <c r="Q747" s="42"/>
      <c r="R747" s="45">
        <v>0</v>
      </c>
    </row>
    <row r="748" spans="1:18" x14ac:dyDescent="0.2">
      <c r="A748" s="42"/>
      <c r="B748" s="42"/>
      <c r="C748" s="42" t="s">
        <v>340</v>
      </c>
      <c r="D748" s="42"/>
      <c r="E748" s="42"/>
      <c r="F748" s="45">
        <v>0</v>
      </c>
      <c r="G748" s="42"/>
      <c r="H748" s="45">
        <v>0</v>
      </c>
      <c r="I748" s="42"/>
      <c r="J748" s="45">
        <v>0</v>
      </c>
      <c r="K748" s="42"/>
      <c r="L748" s="45">
        <v>0</v>
      </c>
      <c r="M748" s="42"/>
      <c r="N748" s="45">
        <v>0</v>
      </c>
      <c r="O748" s="42"/>
      <c r="P748" s="45">
        <v>0</v>
      </c>
      <c r="Q748" s="42"/>
      <c r="R748" s="45">
        <v>0</v>
      </c>
    </row>
    <row r="749" spans="1:18" x14ac:dyDescent="0.2">
      <c r="A749" s="42"/>
      <c r="B749" s="42"/>
      <c r="C749" s="42" t="s">
        <v>341</v>
      </c>
      <c r="D749" s="42"/>
      <c r="E749" s="42"/>
      <c r="F749" s="45">
        <v>1060000</v>
      </c>
      <c r="G749" s="42"/>
      <c r="H749" s="45">
        <v>872000</v>
      </c>
      <c r="I749" s="42"/>
      <c r="J749" s="45">
        <v>102000</v>
      </c>
      <c r="K749" s="42"/>
      <c r="L749" s="45">
        <v>86000</v>
      </c>
      <c r="M749" s="42"/>
      <c r="N749" s="45">
        <v>597000</v>
      </c>
      <c r="O749" s="42"/>
      <c r="P749" s="45">
        <v>463000</v>
      </c>
      <c r="Q749" s="42"/>
      <c r="R749" s="45">
        <v>0</v>
      </c>
    </row>
    <row r="750" spans="1:18" x14ac:dyDescent="0.2">
      <c r="A750" s="42"/>
      <c r="B750" s="42"/>
      <c r="C750" s="42" t="s">
        <v>236</v>
      </c>
      <c r="D750" s="42"/>
      <c r="E750" s="42"/>
      <c r="F750" s="45">
        <v>-217000</v>
      </c>
      <c r="G750" s="42"/>
      <c r="H750" s="45">
        <v>0</v>
      </c>
      <c r="I750" s="42"/>
      <c r="J750" s="45">
        <v>-217000</v>
      </c>
      <c r="K750" s="42"/>
      <c r="L750" s="45">
        <v>0</v>
      </c>
      <c r="M750" s="42"/>
      <c r="N750" s="45">
        <v>681000</v>
      </c>
      <c r="O750" s="42"/>
      <c r="P750" s="45">
        <v>475000</v>
      </c>
      <c r="Q750" s="42"/>
      <c r="R750" s="45">
        <v>1373000</v>
      </c>
    </row>
    <row r="751" spans="1:18" x14ac:dyDescent="0.2">
      <c r="A751" s="42"/>
      <c r="B751" s="42"/>
      <c r="C751" s="42" t="s">
        <v>318</v>
      </c>
      <c r="D751" s="42"/>
      <c r="E751" s="42"/>
      <c r="F751" s="45">
        <v>2345000</v>
      </c>
      <c r="G751" s="42"/>
      <c r="H751" s="45">
        <v>970000</v>
      </c>
      <c r="I751" s="42"/>
      <c r="J751" s="45">
        <v>519000</v>
      </c>
      <c r="K751" s="42"/>
      <c r="L751" s="45">
        <v>856000</v>
      </c>
      <c r="M751" s="42"/>
      <c r="N751" s="45">
        <v>1465000</v>
      </c>
      <c r="O751" s="42"/>
      <c r="P751" s="45">
        <v>889000</v>
      </c>
      <c r="Q751" s="42"/>
      <c r="R751" s="45">
        <v>9000</v>
      </c>
    </row>
    <row r="752" spans="1:18" x14ac:dyDescent="0.2">
      <c r="A752" s="42"/>
      <c r="B752" s="42"/>
      <c r="C752" s="42" t="s">
        <v>303</v>
      </c>
      <c r="D752" s="42"/>
      <c r="E752" s="42"/>
      <c r="F752" s="45">
        <v>944000</v>
      </c>
      <c r="G752" s="42"/>
      <c r="H752" s="45">
        <v>420000</v>
      </c>
      <c r="I752" s="42"/>
      <c r="J752" s="45">
        <v>32000</v>
      </c>
      <c r="K752" s="42"/>
      <c r="L752" s="45">
        <v>492000</v>
      </c>
      <c r="M752" s="42"/>
      <c r="N752" s="45">
        <v>630000</v>
      </c>
      <c r="O752" s="42"/>
      <c r="P752" s="45">
        <v>314000</v>
      </c>
      <c r="Q752" s="42"/>
      <c r="R752" s="45">
        <v>0</v>
      </c>
    </row>
    <row r="753" spans="1:18" x14ac:dyDescent="0.2">
      <c r="A753" s="42"/>
      <c r="B753" s="42"/>
      <c r="C753" s="42" t="s">
        <v>342</v>
      </c>
      <c r="D753" s="42"/>
      <c r="E753" s="42"/>
      <c r="F753" s="45">
        <v>115000</v>
      </c>
      <c r="G753" s="42"/>
      <c r="H753" s="45">
        <v>341000</v>
      </c>
      <c r="I753" s="42"/>
      <c r="J753" s="45">
        <v>-226000</v>
      </c>
      <c r="K753" s="42"/>
      <c r="L753" s="45">
        <v>0</v>
      </c>
      <c r="M753" s="42"/>
      <c r="N753" s="45">
        <v>219000</v>
      </c>
      <c r="O753" s="42"/>
      <c r="P753" s="45">
        <v>2258000</v>
      </c>
      <c r="Q753" s="42"/>
      <c r="R753" s="45">
        <v>2362000</v>
      </c>
    </row>
    <row r="754" spans="1:18" x14ac:dyDescent="0.2">
      <c r="A754" s="42"/>
      <c r="B754" s="42"/>
      <c r="C754" s="42" t="s">
        <v>244</v>
      </c>
      <c r="D754" s="42"/>
      <c r="E754" s="42"/>
      <c r="F754" s="43">
        <v>828000</v>
      </c>
      <c r="G754" s="42"/>
      <c r="H754" s="43">
        <v>192000</v>
      </c>
      <c r="I754" s="42"/>
      <c r="J754" s="43">
        <v>728000</v>
      </c>
      <c r="K754" s="42"/>
      <c r="L754" s="43">
        <v>-92000</v>
      </c>
      <c r="M754" s="42"/>
      <c r="N754" s="43">
        <v>785000</v>
      </c>
      <c r="O754" s="42"/>
      <c r="P754" s="43">
        <v>43000</v>
      </c>
      <c r="Q754" s="42"/>
      <c r="R754" s="43">
        <v>0</v>
      </c>
    </row>
    <row r="755" spans="1:18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</row>
    <row r="756" spans="1:18" x14ac:dyDescent="0.2">
      <c r="A756" s="42"/>
      <c r="B756" s="42"/>
      <c r="C756" s="42"/>
      <c r="D756" s="42"/>
      <c r="E756" s="42" t="s">
        <v>3</v>
      </c>
      <c r="F756" s="43">
        <v>106426000</v>
      </c>
      <c r="G756" s="42"/>
      <c r="H756" s="43">
        <v>67506000</v>
      </c>
      <c r="I756" s="42"/>
      <c r="J756" s="43">
        <v>18483000</v>
      </c>
      <c r="K756" s="42">
        <v>0</v>
      </c>
      <c r="L756" s="43">
        <v>20437000</v>
      </c>
      <c r="M756" s="42">
        <v>0</v>
      </c>
      <c r="N756" s="43">
        <v>58202000</v>
      </c>
      <c r="O756" s="42">
        <v>0</v>
      </c>
      <c r="P756" s="43">
        <v>80335000</v>
      </c>
      <c r="Q756" s="42">
        <v>0</v>
      </c>
      <c r="R756" s="43">
        <v>32111000</v>
      </c>
    </row>
    <row r="757" spans="1:18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</row>
    <row r="758" spans="1:18" x14ac:dyDescent="0.2">
      <c r="A758" s="42"/>
      <c r="B758" s="42"/>
      <c r="C758" s="42"/>
      <c r="D758" s="42"/>
      <c r="E758" s="42" t="s">
        <v>343</v>
      </c>
      <c r="F758" s="43">
        <v>381146000</v>
      </c>
      <c r="G758" s="42"/>
      <c r="H758" s="43">
        <v>-198116000</v>
      </c>
      <c r="I758" s="42"/>
      <c r="J758" s="43">
        <v>344303000</v>
      </c>
      <c r="K758" s="42"/>
      <c r="L758" s="43">
        <v>234959000</v>
      </c>
      <c r="M758" s="42"/>
      <c r="N758" s="43">
        <v>189144000</v>
      </c>
      <c r="O758" s="42"/>
      <c r="P758" s="43">
        <v>227593000</v>
      </c>
      <c r="Q758" s="42"/>
      <c r="R758" s="43">
        <v>35591000</v>
      </c>
    </row>
    <row r="759" spans="1:18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</row>
    <row r="760" spans="1:18" x14ac:dyDescent="0.2">
      <c r="A760" s="44" t="s">
        <v>344</v>
      </c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</row>
    <row r="761" spans="1:18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</row>
    <row r="762" spans="1:18" x14ac:dyDescent="0.2">
      <c r="A762" s="42"/>
      <c r="B762" s="42" t="s">
        <v>345</v>
      </c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</row>
    <row r="763" spans="1:18" x14ac:dyDescent="0.2">
      <c r="A763" s="42"/>
      <c r="B763" s="42"/>
      <c r="C763" s="42" t="s">
        <v>33</v>
      </c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</row>
    <row r="764" spans="1:18" x14ac:dyDescent="0.2">
      <c r="A764" s="42"/>
      <c r="B764" s="42"/>
      <c r="C764" s="42" t="s">
        <v>346</v>
      </c>
      <c r="D764" s="42"/>
      <c r="E764" s="42"/>
      <c r="F764" s="45">
        <v>360000</v>
      </c>
      <c r="G764" s="42"/>
      <c r="H764" s="45">
        <v>0</v>
      </c>
      <c r="I764" s="42"/>
      <c r="J764" s="45">
        <v>359000</v>
      </c>
      <c r="K764" s="42"/>
      <c r="L764" s="45">
        <v>1000</v>
      </c>
      <c r="M764" s="42"/>
      <c r="N764" s="45">
        <v>237000</v>
      </c>
      <c r="O764" s="42"/>
      <c r="P764" s="45">
        <v>123000</v>
      </c>
      <c r="Q764" s="42"/>
      <c r="R764" s="45">
        <v>0</v>
      </c>
    </row>
    <row r="765" spans="1:18" x14ac:dyDescent="0.2">
      <c r="A765" s="42"/>
      <c r="B765" s="42"/>
      <c r="C765" s="42" t="s">
        <v>347</v>
      </c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</row>
    <row r="766" spans="1:18" x14ac:dyDescent="0.2">
      <c r="A766" s="42"/>
      <c r="B766" s="42"/>
      <c r="C766" s="42" t="s">
        <v>348</v>
      </c>
      <c r="D766" s="42"/>
      <c r="E766" s="42"/>
      <c r="F766" s="45">
        <v>9134000</v>
      </c>
      <c r="G766" s="42"/>
      <c r="H766" s="45">
        <v>1126000</v>
      </c>
      <c r="I766" s="42"/>
      <c r="J766" s="45">
        <v>7999000</v>
      </c>
      <c r="K766" s="42"/>
      <c r="L766" s="45">
        <v>9000</v>
      </c>
      <c r="M766" s="42"/>
      <c r="N766" s="45">
        <v>9239000</v>
      </c>
      <c r="O766" s="42"/>
      <c r="P766" s="45">
        <v>8940000</v>
      </c>
      <c r="Q766" s="42"/>
      <c r="R766" s="45">
        <v>9045000</v>
      </c>
    </row>
    <row r="767" spans="1:18" x14ac:dyDescent="0.2">
      <c r="A767" s="42"/>
      <c r="B767" s="42"/>
      <c r="C767" s="42" t="s">
        <v>349</v>
      </c>
      <c r="D767" s="42"/>
      <c r="E767" s="42"/>
      <c r="F767" s="45">
        <v>10000</v>
      </c>
      <c r="G767" s="42"/>
      <c r="H767" s="45">
        <v>0</v>
      </c>
      <c r="I767" s="42"/>
      <c r="J767" s="45">
        <v>10000</v>
      </c>
      <c r="K767" s="42"/>
      <c r="L767" s="45">
        <v>0</v>
      </c>
      <c r="M767" s="42"/>
      <c r="N767" s="45">
        <v>9000</v>
      </c>
      <c r="O767" s="42"/>
      <c r="P767" s="45">
        <v>1000</v>
      </c>
      <c r="Q767" s="42"/>
      <c r="R767" s="45">
        <v>0</v>
      </c>
    </row>
    <row r="768" spans="1:18" x14ac:dyDescent="0.2">
      <c r="A768" s="42"/>
      <c r="B768" s="42"/>
      <c r="C768" s="42" t="s">
        <v>350</v>
      </c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</row>
    <row r="769" spans="1:18" x14ac:dyDescent="0.2">
      <c r="A769" s="42"/>
      <c r="B769" s="42"/>
      <c r="C769" s="42" t="s">
        <v>351</v>
      </c>
      <c r="D769" s="42"/>
      <c r="E769" s="42" t="s">
        <v>352</v>
      </c>
      <c r="F769" s="43">
        <v>1111000</v>
      </c>
      <c r="G769" s="42"/>
      <c r="H769" s="43">
        <v>0</v>
      </c>
      <c r="I769" s="42"/>
      <c r="J769" s="43">
        <v>790000</v>
      </c>
      <c r="K769" s="42"/>
      <c r="L769" s="43">
        <v>321000</v>
      </c>
      <c r="M769" s="42"/>
      <c r="N769" s="43">
        <v>702000</v>
      </c>
      <c r="O769" s="42"/>
      <c r="P769" s="43">
        <v>411000</v>
      </c>
      <c r="Q769" s="42"/>
      <c r="R769" s="43">
        <v>2000</v>
      </c>
    </row>
    <row r="770" spans="1:18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</row>
    <row r="771" spans="1:18" x14ac:dyDescent="0.2">
      <c r="A771" s="42"/>
      <c r="B771" s="42"/>
      <c r="C771" s="42"/>
      <c r="D771" s="42"/>
      <c r="E771" s="42" t="s">
        <v>3</v>
      </c>
      <c r="F771" s="43">
        <v>10615000</v>
      </c>
      <c r="G771" s="42"/>
      <c r="H771" s="43">
        <v>1126000</v>
      </c>
      <c r="I771" s="42"/>
      <c r="J771" s="43">
        <v>9158000</v>
      </c>
      <c r="K771" s="42"/>
      <c r="L771" s="43">
        <v>331000</v>
      </c>
      <c r="M771" s="42"/>
      <c r="N771" s="43">
        <v>10187000</v>
      </c>
      <c r="O771" s="42"/>
      <c r="P771" s="43">
        <v>9475000</v>
      </c>
      <c r="Q771" s="42"/>
      <c r="R771" s="43">
        <v>9047000</v>
      </c>
    </row>
    <row r="772" spans="1:18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</row>
    <row r="773" spans="1:18" x14ac:dyDescent="0.2">
      <c r="A773" s="42"/>
      <c r="B773" s="42" t="s">
        <v>353</v>
      </c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</row>
    <row r="774" spans="1:18" x14ac:dyDescent="0.2">
      <c r="A774" s="42"/>
      <c r="B774" s="42"/>
      <c r="C774" s="42" t="s">
        <v>354</v>
      </c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</row>
    <row r="775" spans="1:18" x14ac:dyDescent="0.2">
      <c r="A775" s="42"/>
      <c r="B775" s="42"/>
      <c r="C775" s="42" t="s">
        <v>355</v>
      </c>
      <c r="D775" s="42"/>
      <c r="E775" s="42"/>
      <c r="F775" s="43">
        <v>3066000</v>
      </c>
      <c r="G775" s="42"/>
      <c r="H775" s="43">
        <v>0</v>
      </c>
      <c r="I775" s="42"/>
      <c r="J775" s="43">
        <v>2852000</v>
      </c>
      <c r="K775" s="42"/>
      <c r="L775" s="43">
        <v>214000</v>
      </c>
      <c r="M775" s="42"/>
      <c r="N775" s="43">
        <v>1313000</v>
      </c>
      <c r="O775" s="42"/>
      <c r="P775" s="43">
        <v>1749000</v>
      </c>
      <c r="Q775" s="42"/>
      <c r="R775" s="43">
        <v>-4000</v>
      </c>
    </row>
    <row r="776" spans="1:18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</row>
    <row r="777" spans="1:18" x14ac:dyDescent="0.2">
      <c r="A777" s="42"/>
      <c r="B777" s="42"/>
      <c r="C777" s="42" t="s">
        <v>356</v>
      </c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</row>
    <row r="778" spans="1:18" x14ac:dyDescent="0.2">
      <c r="A778" s="42"/>
      <c r="B778" s="42"/>
      <c r="C778" s="42"/>
      <c r="D778" s="42"/>
      <c r="E778" s="42" t="s">
        <v>357</v>
      </c>
      <c r="F778" s="45">
        <v>642000</v>
      </c>
      <c r="G778" s="42"/>
      <c r="H778" s="45">
        <v>0</v>
      </c>
      <c r="I778" s="42"/>
      <c r="J778" s="45">
        <v>526000</v>
      </c>
      <c r="K778" s="42"/>
      <c r="L778" s="45">
        <v>116000</v>
      </c>
      <c r="M778" s="42"/>
      <c r="N778" s="45">
        <v>360000</v>
      </c>
      <c r="O778" s="42"/>
      <c r="P778" s="45">
        <v>282000</v>
      </c>
      <c r="Q778" s="42"/>
      <c r="R778" s="45">
        <v>0</v>
      </c>
    </row>
    <row r="779" spans="1:18" x14ac:dyDescent="0.2">
      <c r="A779" s="42"/>
      <c r="B779" s="42"/>
      <c r="C779" s="42"/>
      <c r="D779" s="42"/>
      <c r="E779" s="42" t="s">
        <v>358</v>
      </c>
      <c r="F779" s="43">
        <v>1201000</v>
      </c>
      <c r="G779" s="42"/>
      <c r="H779" s="43">
        <v>0</v>
      </c>
      <c r="I779" s="42"/>
      <c r="J779" s="43">
        <v>823000</v>
      </c>
      <c r="K779" s="42"/>
      <c r="L779" s="43">
        <v>378000</v>
      </c>
      <c r="M779" s="42"/>
      <c r="N779" s="43">
        <v>420000</v>
      </c>
      <c r="O779" s="42"/>
      <c r="P779" s="43">
        <v>793000</v>
      </c>
      <c r="Q779" s="42"/>
      <c r="R779" s="43">
        <v>12000</v>
      </c>
    </row>
    <row r="780" spans="1:18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</row>
    <row r="781" spans="1:18" x14ac:dyDescent="0.2">
      <c r="A781" s="42"/>
      <c r="B781" s="42"/>
      <c r="C781" s="42"/>
      <c r="D781" s="42"/>
      <c r="E781" s="42" t="s">
        <v>3</v>
      </c>
      <c r="F781" s="43">
        <v>1843000</v>
      </c>
      <c r="G781" s="42"/>
      <c r="H781" s="43">
        <v>0</v>
      </c>
      <c r="I781" s="42"/>
      <c r="J781" s="43">
        <v>1349000</v>
      </c>
      <c r="K781" s="42"/>
      <c r="L781" s="43">
        <v>494000</v>
      </c>
      <c r="M781" s="42"/>
      <c r="N781" s="43">
        <v>780000</v>
      </c>
      <c r="O781" s="42"/>
      <c r="P781" s="43">
        <v>1075000</v>
      </c>
      <c r="Q781" s="42"/>
      <c r="R781" s="43">
        <v>12000</v>
      </c>
    </row>
    <row r="782" spans="1:18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</row>
    <row r="783" spans="1:18" x14ac:dyDescent="0.2">
      <c r="A783" s="42"/>
      <c r="B783" s="42"/>
      <c r="C783" s="42" t="s">
        <v>359</v>
      </c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</row>
    <row r="784" spans="1:18" x14ac:dyDescent="0.2">
      <c r="A784" s="42"/>
      <c r="B784" s="42"/>
      <c r="C784" s="42"/>
      <c r="D784" s="42"/>
      <c r="E784" s="42" t="s">
        <v>360</v>
      </c>
      <c r="F784" s="45">
        <v>1130000</v>
      </c>
      <c r="G784" s="42"/>
      <c r="H784" s="45">
        <v>36000</v>
      </c>
      <c r="I784" s="42"/>
      <c r="J784" s="45">
        <v>74000</v>
      </c>
      <c r="K784" s="42"/>
      <c r="L784" s="45">
        <v>1020000</v>
      </c>
      <c r="M784" s="42"/>
      <c r="N784" s="45">
        <v>590000</v>
      </c>
      <c r="O784" s="42"/>
      <c r="P784" s="45">
        <v>540000</v>
      </c>
      <c r="Q784" s="42"/>
      <c r="R784" s="45">
        <v>0</v>
      </c>
    </row>
    <row r="785" spans="1:18" x14ac:dyDescent="0.2">
      <c r="A785" s="42"/>
      <c r="B785" s="42"/>
      <c r="C785" s="42"/>
      <c r="D785" s="42"/>
      <c r="E785" s="42" t="s">
        <v>361</v>
      </c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</row>
    <row r="786" spans="1:18" x14ac:dyDescent="0.2">
      <c r="A786" s="42"/>
      <c r="B786" s="42"/>
      <c r="C786" s="42"/>
      <c r="D786" s="42"/>
      <c r="E786" s="42" t="s">
        <v>362</v>
      </c>
      <c r="F786" s="45">
        <v>574000</v>
      </c>
      <c r="G786" s="42"/>
      <c r="H786" s="45">
        <v>195000</v>
      </c>
      <c r="I786" s="42"/>
      <c r="J786" s="45">
        <v>357000</v>
      </c>
      <c r="K786" s="42"/>
      <c r="L786" s="45">
        <v>22000</v>
      </c>
      <c r="M786" s="42"/>
      <c r="N786" s="45">
        <v>253000</v>
      </c>
      <c r="O786" s="42"/>
      <c r="P786" s="45">
        <v>321000</v>
      </c>
      <c r="Q786" s="42"/>
      <c r="R786" s="45">
        <v>0</v>
      </c>
    </row>
    <row r="787" spans="1:18" x14ac:dyDescent="0.2">
      <c r="A787" s="42"/>
      <c r="B787" s="42"/>
      <c r="C787" s="42"/>
      <c r="D787" s="42"/>
      <c r="E787" s="42" t="s">
        <v>363</v>
      </c>
      <c r="F787" s="45">
        <v>113000</v>
      </c>
      <c r="G787" s="42"/>
      <c r="H787" s="45">
        <v>71000</v>
      </c>
      <c r="I787" s="42"/>
      <c r="J787" s="45">
        <v>42000</v>
      </c>
      <c r="K787" s="42"/>
      <c r="L787" s="45">
        <v>0</v>
      </c>
      <c r="M787" s="42"/>
      <c r="N787" s="45">
        <v>72000</v>
      </c>
      <c r="O787" s="42"/>
      <c r="P787" s="45">
        <v>41000</v>
      </c>
      <c r="Q787" s="42"/>
      <c r="R787" s="45">
        <v>0</v>
      </c>
    </row>
    <row r="788" spans="1:18" x14ac:dyDescent="0.2">
      <c r="A788" s="42"/>
      <c r="B788" s="42"/>
      <c r="C788" s="42"/>
      <c r="D788" s="42"/>
      <c r="E788" s="42" t="s">
        <v>364</v>
      </c>
      <c r="F788" s="45">
        <v>5585000</v>
      </c>
      <c r="G788" s="42"/>
      <c r="H788" s="45">
        <v>0</v>
      </c>
      <c r="I788" s="42"/>
      <c r="J788" s="45">
        <v>5369000</v>
      </c>
      <c r="K788" s="42"/>
      <c r="L788" s="45">
        <v>216000</v>
      </c>
      <c r="M788" s="42"/>
      <c r="N788" s="45">
        <v>3349000</v>
      </c>
      <c r="O788" s="42"/>
      <c r="P788" s="45">
        <v>2236000</v>
      </c>
      <c r="Q788" s="42"/>
      <c r="R788" s="45">
        <v>0</v>
      </c>
    </row>
    <row r="789" spans="1:18" x14ac:dyDescent="0.2">
      <c r="A789" s="42"/>
      <c r="B789" s="42"/>
      <c r="C789" s="42"/>
      <c r="D789" s="42"/>
      <c r="E789" s="42" t="s">
        <v>365</v>
      </c>
      <c r="F789" s="45">
        <v>290000</v>
      </c>
      <c r="G789" s="42"/>
      <c r="H789" s="45">
        <v>14000</v>
      </c>
      <c r="I789" s="42"/>
      <c r="J789" s="45">
        <v>270000</v>
      </c>
      <c r="K789" s="42"/>
      <c r="L789" s="45">
        <v>6000</v>
      </c>
      <c r="M789" s="42"/>
      <c r="N789" s="45">
        <v>140000</v>
      </c>
      <c r="O789" s="42"/>
      <c r="P789" s="45">
        <v>150000</v>
      </c>
      <c r="Q789" s="42"/>
      <c r="R789" s="45">
        <v>0</v>
      </c>
    </row>
    <row r="790" spans="1:18" x14ac:dyDescent="0.2">
      <c r="A790" s="42"/>
      <c r="B790" s="42"/>
      <c r="C790" s="42"/>
      <c r="D790" s="42"/>
      <c r="E790" s="42" t="s">
        <v>366</v>
      </c>
      <c r="F790" s="45">
        <v>1268000</v>
      </c>
      <c r="G790" s="42"/>
      <c r="H790" s="45">
        <v>12000</v>
      </c>
      <c r="I790" s="42"/>
      <c r="J790" s="45">
        <v>1259000</v>
      </c>
      <c r="K790" s="42"/>
      <c r="L790" s="45">
        <v>-3000</v>
      </c>
      <c r="M790" s="42"/>
      <c r="N790" s="45">
        <v>511000</v>
      </c>
      <c r="O790" s="42"/>
      <c r="P790" s="45">
        <v>757000</v>
      </c>
      <c r="Q790" s="42"/>
      <c r="R790" s="45">
        <v>0</v>
      </c>
    </row>
    <row r="791" spans="1:18" x14ac:dyDescent="0.2">
      <c r="A791" s="42"/>
      <c r="B791" s="42"/>
      <c r="C791" s="42"/>
      <c r="D791" s="42"/>
      <c r="E791" s="42" t="s">
        <v>367</v>
      </c>
      <c r="F791" s="45">
        <v>7796000</v>
      </c>
      <c r="G791" s="42"/>
      <c r="H791" s="45">
        <v>174000</v>
      </c>
      <c r="I791" s="42"/>
      <c r="J791" s="45">
        <v>7573000</v>
      </c>
      <c r="K791" s="42"/>
      <c r="L791" s="45">
        <v>49000</v>
      </c>
      <c r="M791" s="42"/>
      <c r="N791" s="45">
        <v>4847000</v>
      </c>
      <c r="O791" s="42"/>
      <c r="P791" s="45">
        <v>2949000</v>
      </c>
      <c r="Q791" s="42"/>
      <c r="R791" s="45">
        <v>0</v>
      </c>
    </row>
    <row r="792" spans="1:18" x14ac:dyDescent="0.2">
      <c r="A792" s="42"/>
      <c r="B792" s="42"/>
      <c r="C792" s="42"/>
      <c r="D792" s="42"/>
      <c r="E792" s="42" t="s">
        <v>368</v>
      </c>
      <c r="F792" s="43">
        <v>1779000</v>
      </c>
      <c r="G792" s="42"/>
      <c r="H792" s="43">
        <v>356000</v>
      </c>
      <c r="I792" s="42"/>
      <c r="J792" s="43">
        <v>1166000</v>
      </c>
      <c r="K792" s="42"/>
      <c r="L792" s="43">
        <v>257000</v>
      </c>
      <c r="M792" s="42"/>
      <c r="N792" s="43">
        <v>922000</v>
      </c>
      <c r="O792" s="42"/>
      <c r="P792" s="43">
        <v>857000</v>
      </c>
      <c r="Q792" s="42"/>
      <c r="R792" s="43">
        <v>0</v>
      </c>
    </row>
    <row r="793" spans="1:18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</row>
    <row r="794" spans="1:18" x14ac:dyDescent="0.2">
      <c r="A794" s="42"/>
      <c r="B794" s="42"/>
      <c r="C794" s="42"/>
      <c r="D794" s="42"/>
      <c r="E794" s="42" t="s">
        <v>3</v>
      </c>
      <c r="F794" s="43">
        <v>18535000</v>
      </c>
      <c r="G794" s="42"/>
      <c r="H794" s="43">
        <v>858000</v>
      </c>
      <c r="I794" s="42"/>
      <c r="J794" s="43">
        <v>16110000</v>
      </c>
      <c r="K794" s="42"/>
      <c r="L794" s="43">
        <v>1567000</v>
      </c>
      <c r="M794" s="42"/>
      <c r="N794" s="43">
        <v>10684000</v>
      </c>
      <c r="O794" s="42"/>
      <c r="P794" s="43">
        <v>7851000</v>
      </c>
      <c r="Q794" s="42"/>
      <c r="R794" s="43">
        <v>0</v>
      </c>
    </row>
    <row r="795" spans="1:18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</row>
    <row r="796" spans="1:18" x14ac:dyDescent="0.2">
      <c r="A796" s="42"/>
      <c r="B796" s="42"/>
      <c r="C796" s="42" t="s">
        <v>369</v>
      </c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</row>
    <row r="797" spans="1:18" x14ac:dyDescent="0.2">
      <c r="A797" s="42"/>
      <c r="B797" s="42"/>
      <c r="C797" s="42"/>
      <c r="D797" s="42"/>
      <c r="E797" s="42" t="s">
        <v>370</v>
      </c>
      <c r="F797" s="45">
        <v>122000</v>
      </c>
      <c r="G797" s="42"/>
      <c r="H797" s="45">
        <v>122000</v>
      </c>
      <c r="I797" s="42"/>
      <c r="J797" s="45">
        <v>0</v>
      </c>
      <c r="K797" s="42"/>
      <c r="L797" s="45">
        <v>0</v>
      </c>
      <c r="M797" s="42"/>
      <c r="N797" s="45">
        <v>83000</v>
      </c>
      <c r="O797" s="42"/>
      <c r="P797" s="45">
        <v>39000</v>
      </c>
      <c r="Q797" s="42"/>
      <c r="R797" s="45">
        <v>0</v>
      </c>
    </row>
    <row r="798" spans="1:18" x14ac:dyDescent="0.2">
      <c r="A798" s="42"/>
      <c r="B798" s="42"/>
      <c r="C798" s="42"/>
      <c r="D798" s="42"/>
      <c r="E798" s="42" t="s">
        <v>371</v>
      </c>
      <c r="F798" s="45">
        <v>45043000</v>
      </c>
      <c r="G798" s="42"/>
      <c r="H798" s="45">
        <v>0</v>
      </c>
      <c r="I798" s="42"/>
      <c r="J798" s="45">
        <v>32026000</v>
      </c>
      <c r="K798" s="42"/>
      <c r="L798" s="45">
        <v>13017000</v>
      </c>
      <c r="M798" s="42"/>
      <c r="N798" s="45">
        <v>19982000</v>
      </c>
      <c r="O798" s="42"/>
      <c r="P798" s="45">
        <v>25889000</v>
      </c>
      <c r="Q798" s="42"/>
      <c r="R798" s="45">
        <v>828000</v>
      </c>
    </row>
    <row r="799" spans="1:18" x14ac:dyDescent="0.2">
      <c r="A799" s="42"/>
      <c r="B799" s="42"/>
      <c r="C799" s="42"/>
      <c r="D799" s="42"/>
      <c r="E799" s="42" t="s">
        <v>372</v>
      </c>
      <c r="F799" s="43">
        <v>8300000</v>
      </c>
      <c r="G799" s="42"/>
      <c r="H799" s="43">
        <v>0</v>
      </c>
      <c r="I799" s="42"/>
      <c r="J799" s="43">
        <v>7938000</v>
      </c>
      <c r="K799" s="42"/>
      <c r="L799" s="43">
        <v>362000</v>
      </c>
      <c r="M799" s="42"/>
      <c r="N799" s="43">
        <v>4189000</v>
      </c>
      <c r="O799" s="42"/>
      <c r="P799" s="43">
        <v>4273000</v>
      </c>
      <c r="Q799" s="42"/>
      <c r="R799" s="43">
        <v>162000</v>
      </c>
    </row>
    <row r="800" spans="1:18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</row>
    <row r="801" spans="1:18" x14ac:dyDescent="0.2">
      <c r="A801" s="42"/>
      <c r="B801" s="42"/>
      <c r="C801" s="42"/>
      <c r="D801" s="42"/>
      <c r="E801" s="42" t="s">
        <v>3</v>
      </c>
      <c r="F801" s="43">
        <v>53465000</v>
      </c>
      <c r="G801" s="42"/>
      <c r="H801" s="43">
        <v>122000</v>
      </c>
      <c r="I801" s="42"/>
      <c r="J801" s="43">
        <v>39964000</v>
      </c>
      <c r="K801" s="42"/>
      <c r="L801" s="43">
        <v>13379000</v>
      </c>
      <c r="M801" s="42"/>
      <c r="N801" s="43">
        <v>24254000</v>
      </c>
      <c r="O801" s="42"/>
      <c r="P801" s="43">
        <v>30201000</v>
      </c>
      <c r="Q801" s="42"/>
      <c r="R801" s="43">
        <v>990000</v>
      </c>
    </row>
    <row r="802" spans="1:18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</row>
    <row r="803" spans="1:18" x14ac:dyDescent="0.2">
      <c r="A803" s="42"/>
      <c r="B803" s="42"/>
      <c r="C803" s="42"/>
      <c r="D803" s="42"/>
      <c r="E803" s="42" t="s">
        <v>373</v>
      </c>
      <c r="F803" s="43">
        <v>76909000</v>
      </c>
      <c r="G803" s="42"/>
      <c r="H803" s="43">
        <v>980000</v>
      </c>
      <c r="I803" s="42"/>
      <c r="J803" s="43">
        <v>60275000</v>
      </c>
      <c r="K803" s="42"/>
      <c r="L803" s="43">
        <v>15654000</v>
      </c>
      <c r="M803" s="42"/>
      <c r="N803" s="43">
        <v>37031000</v>
      </c>
      <c r="O803" s="42"/>
      <c r="P803" s="43">
        <v>40876000</v>
      </c>
      <c r="Q803" s="42"/>
      <c r="R803" s="43">
        <v>998000</v>
      </c>
    </row>
    <row r="804" spans="1:18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</row>
    <row r="805" spans="1:18" x14ac:dyDescent="0.2">
      <c r="A805" s="42"/>
      <c r="B805" s="42" t="s">
        <v>374</v>
      </c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</row>
    <row r="806" spans="1:18" x14ac:dyDescent="0.2">
      <c r="A806" s="42"/>
      <c r="B806" s="42"/>
      <c r="C806" s="42" t="s">
        <v>375</v>
      </c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</row>
    <row r="807" spans="1:18" x14ac:dyDescent="0.2">
      <c r="A807" s="42"/>
      <c r="B807" s="42"/>
      <c r="C807" s="42" t="s">
        <v>376</v>
      </c>
      <c r="D807" s="42"/>
      <c r="E807" s="42"/>
      <c r="F807" s="45">
        <v>2410000</v>
      </c>
      <c r="G807" s="42"/>
      <c r="H807" s="45">
        <v>1298000</v>
      </c>
      <c r="I807" s="42"/>
      <c r="J807" s="45">
        <v>799000</v>
      </c>
      <c r="K807" s="42"/>
      <c r="L807" s="45">
        <v>313000</v>
      </c>
      <c r="M807" s="42"/>
      <c r="N807" s="45">
        <v>1508000</v>
      </c>
      <c r="O807" s="42"/>
      <c r="P807" s="45">
        <v>902000</v>
      </c>
      <c r="Q807" s="42"/>
      <c r="R807" s="45">
        <v>0</v>
      </c>
    </row>
    <row r="808" spans="1:18" x14ac:dyDescent="0.2">
      <c r="A808" s="42"/>
      <c r="B808" s="42"/>
      <c r="C808" s="42" t="s">
        <v>377</v>
      </c>
      <c r="D808" s="42"/>
      <c r="E808" s="42"/>
      <c r="F808" s="45">
        <v>1222000</v>
      </c>
      <c r="G808" s="42"/>
      <c r="H808" s="45">
        <v>602000</v>
      </c>
      <c r="I808" s="42"/>
      <c r="J808" s="45">
        <v>170000</v>
      </c>
      <c r="K808" s="42"/>
      <c r="L808" s="45">
        <v>450000</v>
      </c>
      <c r="M808" s="42"/>
      <c r="N808" s="45">
        <v>647000</v>
      </c>
      <c r="O808" s="42"/>
      <c r="P808" s="45">
        <v>575000</v>
      </c>
      <c r="Q808" s="42"/>
      <c r="R808" s="45">
        <v>0</v>
      </c>
    </row>
    <row r="809" spans="1:18" x14ac:dyDescent="0.2">
      <c r="A809" s="42"/>
      <c r="B809" s="42"/>
      <c r="C809" s="42" t="s">
        <v>378</v>
      </c>
      <c r="D809" s="42"/>
      <c r="E809" s="42"/>
      <c r="F809" s="45">
        <v>762000</v>
      </c>
      <c r="G809" s="42"/>
      <c r="H809" s="45">
        <v>75000</v>
      </c>
      <c r="I809" s="42"/>
      <c r="J809" s="45">
        <v>654000</v>
      </c>
      <c r="K809" s="42"/>
      <c r="L809" s="45">
        <v>33000</v>
      </c>
      <c r="M809" s="42"/>
      <c r="N809" s="45">
        <v>492000</v>
      </c>
      <c r="O809" s="42"/>
      <c r="P809" s="45">
        <v>270000</v>
      </c>
      <c r="Q809" s="42"/>
      <c r="R809" s="45">
        <v>0</v>
      </c>
    </row>
    <row r="810" spans="1:18" x14ac:dyDescent="0.2">
      <c r="A810" s="42"/>
      <c r="B810" s="42"/>
      <c r="C810" s="42" t="s">
        <v>368</v>
      </c>
      <c r="D810" s="42"/>
      <c r="E810" s="42"/>
      <c r="F810" s="45">
        <v>577000</v>
      </c>
      <c r="G810" s="42"/>
      <c r="H810" s="45">
        <v>0</v>
      </c>
      <c r="I810" s="42"/>
      <c r="J810" s="45">
        <v>180000</v>
      </c>
      <c r="K810" s="42"/>
      <c r="L810" s="45">
        <v>397000</v>
      </c>
      <c r="M810" s="42"/>
      <c r="N810" s="45">
        <v>285000</v>
      </c>
      <c r="O810" s="42"/>
      <c r="P810" s="45">
        <v>292000</v>
      </c>
      <c r="Q810" s="42"/>
      <c r="R810" s="45">
        <v>0</v>
      </c>
    </row>
    <row r="811" spans="1:18" x14ac:dyDescent="0.2">
      <c r="A811" s="42"/>
      <c r="B811" s="42"/>
      <c r="C811" s="42" t="s">
        <v>379</v>
      </c>
      <c r="D811" s="42"/>
      <c r="E811" s="42"/>
      <c r="F811" s="43">
        <v>3582000</v>
      </c>
      <c r="G811" s="42"/>
      <c r="H811" s="43">
        <v>1741000</v>
      </c>
      <c r="I811" s="42"/>
      <c r="J811" s="43">
        <v>1763000</v>
      </c>
      <c r="K811" s="42"/>
      <c r="L811" s="43">
        <v>78000</v>
      </c>
      <c r="M811" s="42"/>
      <c r="N811" s="43">
        <v>2126000</v>
      </c>
      <c r="O811" s="42"/>
      <c r="P811" s="43">
        <v>1456000</v>
      </c>
      <c r="Q811" s="42"/>
      <c r="R811" s="43">
        <v>0</v>
      </c>
    </row>
    <row r="812" spans="1:18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</row>
    <row r="813" spans="1:18" x14ac:dyDescent="0.2">
      <c r="A813" s="42"/>
      <c r="B813" s="42"/>
      <c r="C813" s="42"/>
      <c r="D813" s="42"/>
      <c r="E813" s="42" t="s">
        <v>3</v>
      </c>
      <c r="F813" s="43">
        <v>8553000</v>
      </c>
      <c r="G813" s="42"/>
      <c r="H813" s="43">
        <v>3716000</v>
      </c>
      <c r="I813" s="42"/>
      <c r="J813" s="43">
        <v>3566000</v>
      </c>
      <c r="K813" s="42"/>
      <c r="L813" s="43">
        <v>1271000</v>
      </c>
      <c r="M813" s="42"/>
      <c r="N813" s="43">
        <v>5058000</v>
      </c>
      <c r="O813" s="42"/>
      <c r="P813" s="43">
        <v>3495000</v>
      </c>
      <c r="Q813" s="42"/>
      <c r="R813" s="43">
        <v>0</v>
      </c>
    </row>
    <row r="814" spans="1:18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</row>
    <row r="815" spans="1:18" x14ac:dyDescent="0.2">
      <c r="A815" s="42"/>
      <c r="B815" s="42" t="s">
        <v>380</v>
      </c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</row>
    <row r="816" spans="1:18" x14ac:dyDescent="0.2">
      <c r="A816" s="42"/>
      <c r="B816" s="42"/>
      <c r="C816" s="42" t="s">
        <v>381</v>
      </c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</row>
    <row r="817" spans="1:18" x14ac:dyDescent="0.2">
      <c r="A817" s="42"/>
      <c r="B817" s="42"/>
      <c r="C817" s="42" t="s">
        <v>382</v>
      </c>
      <c r="D817" s="42"/>
      <c r="E817" s="42"/>
      <c r="F817" s="45">
        <v>3574000</v>
      </c>
      <c r="G817" s="42"/>
      <c r="H817" s="45">
        <v>0</v>
      </c>
      <c r="I817" s="42"/>
      <c r="J817" s="45">
        <v>3146000</v>
      </c>
      <c r="K817" s="42"/>
      <c r="L817" s="45">
        <v>428000</v>
      </c>
      <c r="M817" s="42"/>
      <c r="N817" s="45">
        <v>2112000</v>
      </c>
      <c r="O817" s="42"/>
      <c r="P817" s="45">
        <v>1465000</v>
      </c>
      <c r="Q817" s="42"/>
      <c r="R817" s="45">
        <v>3000</v>
      </c>
    </row>
    <row r="818" spans="1:18" x14ac:dyDescent="0.2">
      <c r="A818" s="42"/>
      <c r="B818" s="42"/>
      <c r="C818" s="42" t="s">
        <v>383</v>
      </c>
      <c r="D818" s="42"/>
      <c r="E818" s="42"/>
      <c r="F818" s="45">
        <v>3710000</v>
      </c>
      <c r="G818" s="42"/>
      <c r="H818" s="45">
        <v>1448000</v>
      </c>
      <c r="I818" s="42"/>
      <c r="J818" s="45">
        <v>1720000</v>
      </c>
      <c r="K818" s="42"/>
      <c r="L818" s="45">
        <v>542000</v>
      </c>
      <c r="M818" s="42"/>
      <c r="N818" s="45">
        <v>2338000</v>
      </c>
      <c r="O818" s="42"/>
      <c r="P818" s="45">
        <v>1372000</v>
      </c>
      <c r="Q818" s="42"/>
      <c r="R818" s="45">
        <v>0</v>
      </c>
    </row>
    <row r="819" spans="1:18" x14ac:dyDescent="0.2">
      <c r="A819" s="42"/>
      <c r="B819" s="42"/>
      <c r="C819" s="42" t="s">
        <v>384</v>
      </c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</row>
    <row r="820" spans="1:18" x14ac:dyDescent="0.2">
      <c r="A820" s="42"/>
      <c r="B820" s="42"/>
      <c r="C820" s="42"/>
      <c r="D820" s="42"/>
      <c r="E820" s="42" t="s">
        <v>385</v>
      </c>
      <c r="F820" s="43">
        <v>1159000</v>
      </c>
      <c r="G820" s="42"/>
      <c r="H820" s="43">
        <v>20000</v>
      </c>
      <c r="I820" s="42"/>
      <c r="J820" s="43">
        <v>1137000</v>
      </c>
      <c r="K820" s="42"/>
      <c r="L820" s="43">
        <v>2000</v>
      </c>
      <c r="M820" s="42"/>
      <c r="N820" s="43">
        <v>1727000</v>
      </c>
      <c r="O820" s="42"/>
      <c r="P820" s="43">
        <v>1156000</v>
      </c>
      <c r="Q820" s="42"/>
      <c r="R820" s="43">
        <v>1724000</v>
      </c>
    </row>
    <row r="821" spans="1:18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</row>
    <row r="822" spans="1:18" x14ac:dyDescent="0.2">
      <c r="A822" s="42"/>
      <c r="B822" s="42"/>
      <c r="C822" s="42"/>
      <c r="D822" s="42"/>
      <c r="E822" s="42" t="s">
        <v>3</v>
      </c>
      <c r="F822" s="43">
        <v>8443000</v>
      </c>
      <c r="G822" s="42"/>
      <c r="H822" s="43">
        <v>1468000</v>
      </c>
      <c r="I822" s="42"/>
      <c r="J822" s="43">
        <v>6003000</v>
      </c>
      <c r="K822" s="42"/>
      <c r="L822" s="43">
        <v>972000</v>
      </c>
      <c r="M822" s="42"/>
      <c r="N822" s="43">
        <v>6177000</v>
      </c>
      <c r="O822" s="42"/>
      <c r="P822" s="43">
        <v>3993000</v>
      </c>
      <c r="Q822" s="42"/>
      <c r="R822" s="43">
        <v>1727000</v>
      </c>
    </row>
    <row r="823" spans="1:18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</row>
    <row r="824" spans="1:18" x14ac:dyDescent="0.2">
      <c r="A824" s="42"/>
      <c r="B824" s="42" t="s">
        <v>386</v>
      </c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</row>
    <row r="825" spans="1:18" x14ac:dyDescent="0.2">
      <c r="A825" s="42"/>
      <c r="B825" s="42"/>
      <c r="C825" s="42" t="s">
        <v>387</v>
      </c>
      <c r="D825" s="42"/>
      <c r="E825" s="42"/>
      <c r="F825" s="45">
        <v>4902000</v>
      </c>
      <c r="G825" s="42"/>
      <c r="H825" s="45">
        <v>3945000</v>
      </c>
      <c r="I825" s="42"/>
      <c r="J825" s="45">
        <v>784000</v>
      </c>
      <c r="K825" s="42"/>
      <c r="L825" s="45">
        <v>173000</v>
      </c>
      <c r="M825" s="42"/>
      <c r="N825" s="45">
        <v>3739000</v>
      </c>
      <c r="O825" s="42"/>
      <c r="P825" s="45">
        <v>1163000</v>
      </c>
      <c r="Q825" s="42"/>
      <c r="R825" s="45">
        <v>0</v>
      </c>
    </row>
    <row r="826" spans="1:18" x14ac:dyDescent="0.2">
      <c r="A826" s="42"/>
      <c r="B826" s="42"/>
      <c r="C826" s="42" t="s">
        <v>388</v>
      </c>
      <c r="D826" s="42"/>
      <c r="E826" s="42"/>
      <c r="F826" s="43">
        <v>739000</v>
      </c>
      <c r="G826" s="42"/>
      <c r="H826" s="43">
        <v>476000</v>
      </c>
      <c r="I826" s="42"/>
      <c r="J826" s="43">
        <v>213000</v>
      </c>
      <c r="K826" s="42"/>
      <c r="L826" s="43">
        <v>50000</v>
      </c>
      <c r="M826" s="42"/>
      <c r="N826" s="43">
        <v>383000</v>
      </c>
      <c r="O826" s="42"/>
      <c r="P826" s="43">
        <v>356000</v>
      </c>
      <c r="Q826" s="42"/>
      <c r="R826" s="43">
        <v>0</v>
      </c>
    </row>
    <row r="827" spans="1:18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</row>
    <row r="828" spans="1:18" x14ac:dyDescent="0.2">
      <c r="A828" s="42"/>
      <c r="B828" s="42"/>
      <c r="C828" s="42"/>
      <c r="D828" s="42"/>
      <c r="E828" s="42" t="s">
        <v>3</v>
      </c>
      <c r="F828" s="43">
        <v>5641000</v>
      </c>
      <c r="G828" s="42"/>
      <c r="H828" s="43">
        <v>4421000</v>
      </c>
      <c r="I828" s="42"/>
      <c r="J828" s="43">
        <v>997000</v>
      </c>
      <c r="K828" s="42"/>
      <c r="L828" s="43">
        <v>223000</v>
      </c>
      <c r="M828" s="42"/>
      <c r="N828" s="43">
        <v>4122000</v>
      </c>
      <c r="O828" s="42"/>
      <c r="P828" s="43">
        <v>1519000</v>
      </c>
      <c r="Q828" s="42"/>
      <c r="R828" s="43">
        <v>0</v>
      </c>
    </row>
    <row r="829" spans="1:18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</row>
    <row r="830" spans="1:18" x14ac:dyDescent="0.2">
      <c r="A830" s="42"/>
      <c r="B830" s="42" t="s">
        <v>389</v>
      </c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</row>
    <row r="831" spans="1:18" x14ac:dyDescent="0.2">
      <c r="A831" s="42"/>
      <c r="B831" s="42"/>
      <c r="C831" s="42" t="s">
        <v>390</v>
      </c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</row>
    <row r="832" spans="1:18" x14ac:dyDescent="0.2">
      <c r="A832" s="42"/>
      <c r="B832" s="42"/>
      <c r="C832" s="42" t="s">
        <v>391</v>
      </c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</row>
    <row r="833" spans="1:18" x14ac:dyDescent="0.2">
      <c r="A833" s="42"/>
      <c r="B833" s="42"/>
      <c r="C833" s="42"/>
      <c r="D833" s="42"/>
      <c r="E833" s="42" t="s">
        <v>392</v>
      </c>
      <c r="F833" s="45">
        <v>479000</v>
      </c>
      <c r="G833" s="42"/>
      <c r="H833" s="45">
        <v>479000</v>
      </c>
      <c r="I833" s="42"/>
      <c r="J833" s="45">
        <v>0</v>
      </c>
      <c r="K833" s="42"/>
      <c r="L833" s="45">
        <v>0</v>
      </c>
      <c r="M833" s="42"/>
      <c r="N833" s="45">
        <v>333000</v>
      </c>
      <c r="O833" s="42"/>
      <c r="P833" s="45">
        <v>146000</v>
      </c>
      <c r="Q833" s="42"/>
      <c r="R833" s="45">
        <v>0</v>
      </c>
    </row>
    <row r="834" spans="1:18" x14ac:dyDescent="0.2">
      <c r="A834" s="42"/>
      <c r="B834" s="42"/>
      <c r="C834" s="42" t="s">
        <v>393</v>
      </c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</row>
    <row r="835" spans="1:18" x14ac:dyDescent="0.2">
      <c r="A835" s="42"/>
      <c r="B835" s="42"/>
      <c r="C835" s="42"/>
      <c r="D835" s="42"/>
      <c r="E835" s="42" t="s">
        <v>394</v>
      </c>
      <c r="F835" s="45">
        <v>5866000</v>
      </c>
      <c r="G835" s="42"/>
      <c r="H835" s="45">
        <v>3098000</v>
      </c>
      <c r="I835" s="42"/>
      <c r="J835" s="45">
        <v>2768000</v>
      </c>
      <c r="K835" s="42"/>
      <c r="L835" s="45">
        <v>0</v>
      </c>
      <c r="M835" s="42"/>
      <c r="N835" s="45">
        <v>3788000</v>
      </c>
      <c r="O835" s="42"/>
      <c r="P835" s="45">
        <v>2078000</v>
      </c>
      <c r="Q835" s="42"/>
      <c r="R835" s="45">
        <v>0</v>
      </c>
    </row>
    <row r="836" spans="1:18" x14ac:dyDescent="0.2">
      <c r="A836" s="42"/>
      <c r="B836" s="42"/>
      <c r="C836" s="42" t="s">
        <v>395</v>
      </c>
      <c r="D836" s="42"/>
      <c r="E836" s="42"/>
      <c r="F836" s="43">
        <v>3900000</v>
      </c>
      <c r="G836" s="42"/>
      <c r="H836" s="43">
        <v>1339000</v>
      </c>
      <c r="I836" s="42"/>
      <c r="J836" s="43">
        <v>2485000</v>
      </c>
      <c r="K836" s="42"/>
      <c r="L836" s="43">
        <v>76000</v>
      </c>
      <c r="M836" s="42"/>
      <c r="N836" s="43">
        <v>2440000</v>
      </c>
      <c r="O836" s="42"/>
      <c r="P836" s="43">
        <v>1460000</v>
      </c>
      <c r="Q836" s="42"/>
      <c r="R836" s="43">
        <v>0</v>
      </c>
    </row>
    <row r="837" spans="1:18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</row>
    <row r="838" spans="1:18" x14ac:dyDescent="0.2">
      <c r="A838" s="42"/>
      <c r="B838" s="42"/>
      <c r="C838" s="42"/>
      <c r="D838" s="42"/>
      <c r="E838" s="42" t="s">
        <v>3</v>
      </c>
      <c r="F838" s="43">
        <v>10245000</v>
      </c>
      <c r="G838" s="42"/>
      <c r="H838" s="43">
        <v>4916000</v>
      </c>
      <c r="I838" s="42"/>
      <c r="J838" s="43">
        <v>5253000</v>
      </c>
      <c r="K838" s="42"/>
      <c r="L838" s="43">
        <v>76000</v>
      </c>
      <c r="M838" s="42"/>
      <c r="N838" s="43">
        <v>6561000</v>
      </c>
      <c r="O838" s="42"/>
      <c r="P838" s="43">
        <v>3684000</v>
      </c>
      <c r="Q838" s="42"/>
      <c r="R838" s="43">
        <v>0</v>
      </c>
    </row>
    <row r="839" spans="1:18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</row>
    <row r="840" spans="1:18" x14ac:dyDescent="0.2">
      <c r="A840" s="42"/>
      <c r="B840" s="42" t="s">
        <v>396</v>
      </c>
      <c r="C840" s="42"/>
      <c r="D840" s="42"/>
      <c r="E840" s="42"/>
      <c r="F840" s="43">
        <v>85608000</v>
      </c>
      <c r="G840" s="42"/>
      <c r="H840" s="43">
        <v>36000</v>
      </c>
      <c r="I840" s="42"/>
      <c r="J840" s="43">
        <v>85390000</v>
      </c>
      <c r="K840" s="42"/>
      <c r="L840" s="43">
        <v>182000</v>
      </c>
      <c r="M840" s="42"/>
      <c r="N840" s="43">
        <v>18821000</v>
      </c>
      <c r="O840" s="42"/>
      <c r="P840" s="43">
        <v>79561000</v>
      </c>
      <c r="Q840" s="42"/>
      <c r="R840" s="43">
        <v>12774000</v>
      </c>
    </row>
    <row r="841" spans="1:18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</row>
    <row r="842" spans="1:18" x14ac:dyDescent="0.2">
      <c r="A842" s="42"/>
      <c r="B842" s="42" t="s">
        <v>397</v>
      </c>
      <c r="C842" s="42"/>
      <c r="D842" s="42"/>
      <c r="E842" s="42"/>
      <c r="F842" s="43">
        <v>11070000</v>
      </c>
      <c r="G842" s="42"/>
      <c r="H842" s="43">
        <v>931000</v>
      </c>
      <c r="I842" s="42"/>
      <c r="J842" s="43">
        <v>10122000</v>
      </c>
      <c r="K842" s="42"/>
      <c r="L842" s="43">
        <v>17000</v>
      </c>
      <c r="M842" s="42"/>
      <c r="N842" s="43">
        <v>5812000</v>
      </c>
      <c r="O842" s="42"/>
      <c r="P842" s="43">
        <v>5258000</v>
      </c>
      <c r="Q842" s="42"/>
      <c r="R842" s="43">
        <v>0</v>
      </c>
    </row>
    <row r="843" spans="1:18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</row>
    <row r="844" spans="1:18" x14ac:dyDescent="0.2">
      <c r="A844" s="42"/>
      <c r="B844" s="42" t="s">
        <v>398</v>
      </c>
      <c r="C844" s="42"/>
      <c r="D844" s="42"/>
      <c r="E844" s="42"/>
      <c r="F844" s="43">
        <v>5567000</v>
      </c>
      <c r="G844" s="42"/>
      <c r="H844" s="43">
        <v>-6138000</v>
      </c>
      <c r="I844" s="42"/>
      <c r="J844" s="43">
        <v>10685000</v>
      </c>
      <c r="K844" s="42"/>
      <c r="L844" s="43">
        <v>1020000</v>
      </c>
      <c r="M844" s="42"/>
      <c r="N844" s="43">
        <v>8090000</v>
      </c>
      <c r="O844" s="42"/>
      <c r="P844" s="43">
        <v>-2570000</v>
      </c>
      <c r="Q844" s="42"/>
      <c r="R844" s="43">
        <v>-47000</v>
      </c>
    </row>
    <row r="845" spans="1:18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</row>
    <row r="846" spans="1:18" x14ac:dyDescent="0.2">
      <c r="A846" s="42"/>
      <c r="B846" s="42" t="s">
        <v>399</v>
      </c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</row>
    <row r="847" spans="1:18" x14ac:dyDescent="0.2">
      <c r="A847" s="42"/>
      <c r="B847" s="42"/>
      <c r="C847" s="42" t="s">
        <v>400</v>
      </c>
      <c r="D847" s="42"/>
      <c r="E847" s="42"/>
      <c r="F847" s="43">
        <v>466000</v>
      </c>
      <c r="G847" s="42"/>
      <c r="H847" s="43">
        <v>-103000</v>
      </c>
      <c r="I847" s="42"/>
      <c r="J847" s="43">
        <v>584000</v>
      </c>
      <c r="K847" s="42"/>
      <c r="L847" s="43">
        <v>-15000</v>
      </c>
      <c r="M847" s="42"/>
      <c r="N847" s="43">
        <v>444000</v>
      </c>
      <c r="O847" s="42"/>
      <c r="P847" s="43">
        <v>22000</v>
      </c>
      <c r="Q847" s="42"/>
      <c r="R847" s="43">
        <v>0</v>
      </c>
    </row>
    <row r="848" spans="1:18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</row>
    <row r="849" spans="1:18" x14ac:dyDescent="0.2">
      <c r="A849" s="42"/>
      <c r="B849" s="42"/>
      <c r="C849" s="42"/>
      <c r="D849" s="42"/>
      <c r="E849" s="42" t="s">
        <v>401</v>
      </c>
      <c r="F849" s="43">
        <v>223117000</v>
      </c>
      <c r="G849" s="42"/>
      <c r="H849" s="43">
        <v>11353000</v>
      </c>
      <c r="I849" s="42"/>
      <c r="J849" s="43">
        <v>192033000</v>
      </c>
      <c r="K849" s="42"/>
      <c r="L849" s="43">
        <v>19731000</v>
      </c>
      <c r="M849" s="42"/>
      <c r="N849" s="43">
        <v>102303000</v>
      </c>
      <c r="O849" s="42"/>
      <c r="P849" s="43">
        <v>145313000</v>
      </c>
      <c r="Q849" s="42"/>
      <c r="R849" s="43">
        <v>24499000</v>
      </c>
    </row>
    <row r="850" spans="1:18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</row>
    <row r="851" spans="1:18" x14ac:dyDescent="0.2">
      <c r="A851" s="44" t="s">
        <v>402</v>
      </c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</row>
    <row r="852" spans="1:18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</row>
    <row r="853" spans="1:18" x14ac:dyDescent="0.2">
      <c r="A853" s="42"/>
      <c r="B853" s="42" t="s">
        <v>403</v>
      </c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</row>
    <row r="854" spans="1:18" x14ac:dyDescent="0.2">
      <c r="A854" s="42"/>
      <c r="B854" s="42"/>
      <c r="C854" s="42" t="s">
        <v>404</v>
      </c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</row>
    <row r="855" spans="1:18" x14ac:dyDescent="0.2">
      <c r="A855" s="42"/>
      <c r="B855" s="42"/>
      <c r="C855" s="42"/>
      <c r="D855" s="42"/>
      <c r="E855" s="42" t="s">
        <v>405</v>
      </c>
      <c r="F855" s="45">
        <v>1340000</v>
      </c>
      <c r="G855" s="42"/>
      <c r="H855" s="45">
        <v>1265000</v>
      </c>
      <c r="I855" s="42"/>
      <c r="J855" s="45">
        <v>75000</v>
      </c>
      <c r="K855" s="42"/>
      <c r="L855" s="45">
        <v>0</v>
      </c>
      <c r="M855" s="42"/>
      <c r="N855" s="45">
        <v>843000</v>
      </c>
      <c r="O855" s="42"/>
      <c r="P855" s="45">
        <v>497000</v>
      </c>
      <c r="Q855" s="42"/>
      <c r="R855" s="45">
        <v>0</v>
      </c>
    </row>
    <row r="856" spans="1:18" x14ac:dyDescent="0.2">
      <c r="A856" s="42"/>
      <c r="B856" s="42"/>
      <c r="C856" s="42"/>
      <c r="D856" s="42"/>
      <c r="E856" s="42" t="s">
        <v>406</v>
      </c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</row>
    <row r="857" spans="1:18" x14ac:dyDescent="0.2">
      <c r="A857" s="42"/>
      <c r="B857" s="42"/>
      <c r="C857" s="42"/>
      <c r="D857" s="42"/>
      <c r="E857" s="42" t="s">
        <v>407</v>
      </c>
      <c r="F857" s="45">
        <v>0</v>
      </c>
      <c r="G857" s="42"/>
      <c r="H857" s="45">
        <v>0</v>
      </c>
      <c r="I857" s="42"/>
      <c r="J857" s="45">
        <v>0</v>
      </c>
      <c r="K857" s="42"/>
      <c r="L857" s="45">
        <v>0</v>
      </c>
      <c r="M857" s="42"/>
      <c r="N857" s="45">
        <v>0</v>
      </c>
      <c r="O857" s="42"/>
      <c r="P857" s="45">
        <v>0</v>
      </c>
      <c r="Q857" s="42"/>
      <c r="R857" s="45">
        <v>0</v>
      </c>
    </row>
    <row r="858" spans="1:18" x14ac:dyDescent="0.2">
      <c r="A858" s="42"/>
      <c r="B858" s="42"/>
      <c r="C858" s="42"/>
      <c r="D858" s="42"/>
      <c r="E858" s="42" t="s">
        <v>408</v>
      </c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</row>
    <row r="859" spans="1:18" x14ac:dyDescent="0.2">
      <c r="A859" s="42"/>
      <c r="B859" s="42"/>
      <c r="C859" s="42"/>
      <c r="D859" s="42"/>
      <c r="E859" s="42" t="s">
        <v>409</v>
      </c>
      <c r="F859" s="45">
        <v>-4116000</v>
      </c>
      <c r="G859" s="42"/>
      <c r="H859" s="45">
        <v>0</v>
      </c>
      <c r="I859" s="42"/>
      <c r="J859" s="45">
        <v>-4116000</v>
      </c>
      <c r="K859" s="42"/>
      <c r="L859" s="45">
        <v>0</v>
      </c>
      <c r="M859" s="42"/>
      <c r="N859" s="45">
        <v>0</v>
      </c>
      <c r="O859" s="42"/>
      <c r="P859" s="45">
        <v>-4116000</v>
      </c>
      <c r="Q859" s="42"/>
      <c r="R859" s="45">
        <v>0</v>
      </c>
    </row>
    <row r="860" spans="1:18" x14ac:dyDescent="0.2">
      <c r="A860" s="42"/>
      <c r="B860" s="42"/>
      <c r="C860" s="42"/>
      <c r="D860" s="42"/>
      <c r="E860" s="42" t="s">
        <v>410</v>
      </c>
      <c r="F860" s="45">
        <v>6780000</v>
      </c>
      <c r="G860" s="42"/>
      <c r="H860" s="45">
        <v>3218000</v>
      </c>
      <c r="I860" s="42"/>
      <c r="J860" s="45">
        <v>3560000</v>
      </c>
      <c r="K860" s="42"/>
      <c r="L860" s="45">
        <v>2000</v>
      </c>
      <c r="M860" s="42"/>
      <c r="N860" s="45">
        <v>3275000</v>
      </c>
      <c r="O860" s="42"/>
      <c r="P860" s="45">
        <v>3505000</v>
      </c>
      <c r="Q860" s="42"/>
      <c r="R860" s="45">
        <v>0</v>
      </c>
    </row>
    <row r="861" spans="1:18" x14ac:dyDescent="0.2">
      <c r="A861" s="42"/>
      <c r="B861" s="42"/>
      <c r="C861" s="42"/>
      <c r="D861" s="42"/>
      <c r="E861" s="42" t="s">
        <v>411</v>
      </c>
      <c r="F861" s="45">
        <v>618000</v>
      </c>
      <c r="G861" s="42"/>
      <c r="H861" s="45">
        <v>291000</v>
      </c>
      <c r="I861" s="42"/>
      <c r="J861" s="45">
        <v>327000</v>
      </c>
      <c r="K861" s="42"/>
      <c r="L861" s="45">
        <v>0</v>
      </c>
      <c r="M861" s="42"/>
      <c r="N861" s="45">
        <v>337000</v>
      </c>
      <c r="O861" s="42"/>
      <c r="P861" s="45">
        <v>281000</v>
      </c>
      <c r="Q861" s="42"/>
      <c r="R861" s="45">
        <v>0</v>
      </c>
    </row>
    <row r="862" spans="1:18" x14ac:dyDescent="0.2">
      <c r="A862" s="42"/>
      <c r="B862" s="42"/>
      <c r="C862" s="42"/>
      <c r="D862" s="42"/>
      <c r="E862" s="42" t="s">
        <v>412</v>
      </c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</row>
    <row r="863" spans="1:18" x14ac:dyDescent="0.2">
      <c r="A863" s="42"/>
      <c r="B863" s="42"/>
      <c r="C863" s="42"/>
      <c r="D863" s="42"/>
      <c r="E863" s="42" t="s">
        <v>413</v>
      </c>
      <c r="F863" s="45">
        <v>1572000</v>
      </c>
      <c r="G863" s="42"/>
      <c r="H863" s="45">
        <v>1382000</v>
      </c>
      <c r="I863" s="42"/>
      <c r="J863" s="45">
        <v>182000</v>
      </c>
      <c r="K863" s="42"/>
      <c r="L863" s="45">
        <v>8000</v>
      </c>
      <c r="M863" s="42"/>
      <c r="N863" s="45">
        <v>1008000</v>
      </c>
      <c r="O863" s="42"/>
      <c r="P863" s="45">
        <v>564000</v>
      </c>
      <c r="Q863" s="42"/>
      <c r="R863" s="45">
        <v>0</v>
      </c>
    </row>
    <row r="864" spans="1:18" x14ac:dyDescent="0.2">
      <c r="A864" s="42"/>
      <c r="B864" s="42"/>
      <c r="C864" s="42"/>
      <c r="D864" s="42"/>
      <c r="E864" s="42" t="s">
        <v>414</v>
      </c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</row>
    <row r="865" spans="1:18" x14ac:dyDescent="0.2">
      <c r="A865" s="42"/>
      <c r="B865" s="42"/>
      <c r="C865" s="42"/>
      <c r="D865" s="42"/>
      <c r="E865" s="42" t="s">
        <v>415</v>
      </c>
      <c r="F865" s="45">
        <v>2993000</v>
      </c>
      <c r="G865" s="42"/>
      <c r="H865" s="45">
        <v>2000</v>
      </c>
      <c r="I865" s="42"/>
      <c r="J865" s="45">
        <v>2991000</v>
      </c>
      <c r="K865" s="42"/>
      <c r="L865" s="45">
        <v>0</v>
      </c>
      <c r="M865" s="42"/>
      <c r="N865" s="45">
        <v>1702000</v>
      </c>
      <c r="O865" s="42"/>
      <c r="P865" s="45">
        <v>1291000</v>
      </c>
      <c r="Q865" s="42"/>
      <c r="R865" s="45">
        <v>0</v>
      </c>
    </row>
    <row r="866" spans="1:18" x14ac:dyDescent="0.2">
      <c r="A866" s="42"/>
      <c r="B866" s="42"/>
      <c r="C866" s="42"/>
      <c r="D866" s="42"/>
      <c r="E866" s="42" t="s">
        <v>416</v>
      </c>
      <c r="F866" s="45">
        <v>14000</v>
      </c>
      <c r="G866" s="42"/>
      <c r="H866" s="45">
        <v>14000</v>
      </c>
      <c r="I866" s="42"/>
      <c r="J866" s="45">
        <v>0</v>
      </c>
      <c r="K866" s="42"/>
      <c r="L866" s="45">
        <v>0</v>
      </c>
      <c r="M866" s="42"/>
      <c r="N866" s="45">
        <v>9000</v>
      </c>
      <c r="O866" s="42"/>
      <c r="P866" s="45">
        <v>5000</v>
      </c>
      <c r="Q866" s="42"/>
      <c r="R866" s="45">
        <v>0</v>
      </c>
    </row>
    <row r="867" spans="1:18" x14ac:dyDescent="0.2">
      <c r="A867" s="42"/>
      <c r="B867" s="42"/>
      <c r="C867" s="42"/>
      <c r="D867" s="42"/>
      <c r="E867" s="42" t="s">
        <v>417</v>
      </c>
      <c r="F867" s="45">
        <v>0</v>
      </c>
      <c r="G867" s="42"/>
      <c r="H867" s="45">
        <v>0</v>
      </c>
      <c r="I867" s="42"/>
      <c r="J867" s="45">
        <v>0</v>
      </c>
      <c r="K867" s="42"/>
      <c r="L867" s="45">
        <v>0</v>
      </c>
      <c r="M867" s="42"/>
      <c r="N867" s="45">
        <v>0</v>
      </c>
      <c r="O867" s="42"/>
      <c r="P867" s="45">
        <v>0</v>
      </c>
      <c r="Q867" s="42"/>
      <c r="R867" s="45">
        <v>0</v>
      </c>
    </row>
    <row r="868" spans="1:18" x14ac:dyDescent="0.2">
      <c r="A868" s="42"/>
      <c r="B868" s="42"/>
      <c r="C868" s="42"/>
      <c r="D868" s="42"/>
      <c r="E868" s="42" t="s">
        <v>418</v>
      </c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</row>
    <row r="869" spans="1:18" x14ac:dyDescent="0.2">
      <c r="A869" s="42"/>
      <c r="B869" s="42"/>
      <c r="C869" s="42"/>
      <c r="D869" s="42"/>
      <c r="E869" s="42" t="s">
        <v>419</v>
      </c>
      <c r="F869" s="45">
        <v>289000</v>
      </c>
      <c r="G869" s="42"/>
      <c r="H869" s="45">
        <v>20000</v>
      </c>
      <c r="I869" s="42"/>
      <c r="J869" s="45">
        <v>269000</v>
      </c>
      <c r="K869" s="42"/>
      <c r="L869" s="45">
        <v>0</v>
      </c>
      <c r="M869" s="42"/>
      <c r="N869" s="45">
        <v>179000</v>
      </c>
      <c r="O869" s="42"/>
      <c r="P869" s="45">
        <v>110000</v>
      </c>
      <c r="Q869" s="42"/>
      <c r="R869" s="45">
        <v>0</v>
      </c>
    </row>
    <row r="870" spans="1:18" x14ac:dyDescent="0.2">
      <c r="A870" s="42"/>
      <c r="B870" s="42"/>
      <c r="C870" s="42"/>
      <c r="D870" s="42"/>
      <c r="E870" s="42" t="s">
        <v>420</v>
      </c>
      <c r="F870" s="45">
        <v>462000</v>
      </c>
      <c r="G870" s="42"/>
      <c r="H870" s="45">
        <v>426000</v>
      </c>
      <c r="I870" s="42"/>
      <c r="J870" s="45">
        <v>36000</v>
      </c>
      <c r="K870" s="42"/>
      <c r="L870" s="45">
        <v>0</v>
      </c>
      <c r="M870" s="42"/>
      <c r="N870" s="45">
        <v>305000</v>
      </c>
      <c r="O870" s="42"/>
      <c r="P870" s="45">
        <v>157000</v>
      </c>
      <c r="Q870" s="42"/>
      <c r="R870" s="45">
        <v>0</v>
      </c>
    </row>
    <row r="871" spans="1:18" x14ac:dyDescent="0.2">
      <c r="A871" s="42"/>
      <c r="B871" s="42"/>
      <c r="C871" s="42"/>
      <c r="D871" s="42"/>
      <c r="E871" s="42" t="s">
        <v>421</v>
      </c>
      <c r="F871" s="45">
        <v>2068000</v>
      </c>
      <c r="G871" s="42"/>
      <c r="H871" s="45">
        <v>38000</v>
      </c>
      <c r="I871" s="42"/>
      <c r="J871" s="45">
        <v>2030000</v>
      </c>
      <c r="K871" s="42"/>
      <c r="L871" s="45">
        <v>0</v>
      </c>
      <c r="M871" s="42"/>
      <c r="N871" s="45">
        <v>1288000</v>
      </c>
      <c r="O871" s="42"/>
      <c r="P871" s="45">
        <v>780000</v>
      </c>
      <c r="Q871" s="42"/>
      <c r="R871" s="45">
        <v>0</v>
      </c>
    </row>
    <row r="872" spans="1:18" x14ac:dyDescent="0.2">
      <c r="A872" s="42"/>
      <c r="B872" s="42"/>
      <c r="C872" s="42"/>
      <c r="D872" s="42"/>
      <c r="E872" s="42" t="s">
        <v>422</v>
      </c>
      <c r="F872" s="45">
        <v>2297000</v>
      </c>
      <c r="G872" s="42"/>
      <c r="H872" s="45">
        <v>0</v>
      </c>
      <c r="I872" s="42"/>
      <c r="J872" s="45">
        <v>2297000</v>
      </c>
      <c r="K872" s="42"/>
      <c r="L872" s="45">
        <v>0</v>
      </c>
      <c r="M872" s="42"/>
      <c r="N872" s="45">
        <v>847000</v>
      </c>
      <c r="O872" s="42"/>
      <c r="P872" s="45">
        <v>1450000</v>
      </c>
      <c r="Q872" s="42"/>
      <c r="R872" s="45">
        <v>0</v>
      </c>
    </row>
    <row r="873" spans="1:18" x14ac:dyDescent="0.2">
      <c r="A873" s="42"/>
      <c r="B873" s="42"/>
      <c r="C873" s="42"/>
      <c r="D873" s="42"/>
      <c r="E873" s="42" t="s">
        <v>423</v>
      </c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</row>
    <row r="874" spans="1:18" x14ac:dyDescent="0.2">
      <c r="A874" s="42"/>
      <c r="B874" s="42"/>
      <c r="C874" s="42"/>
      <c r="D874" s="42"/>
      <c r="E874" s="42" t="s">
        <v>424</v>
      </c>
      <c r="F874" s="45">
        <v>1671000</v>
      </c>
      <c r="G874" s="42"/>
      <c r="H874" s="45">
        <v>1091000</v>
      </c>
      <c r="I874" s="42"/>
      <c r="J874" s="45">
        <v>579000</v>
      </c>
      <c r="K874" s="42"/>
      <c r="L874" s="45">
        <v>1000</v>
      </c>
      <c r="M874" s="42"/>
      <c r="N874" s="45">
        <v>998000</v>
      </c>
      <c r="O874" s="42"/>
      <c r="P874" s="45">
        <v>673000</v>
      </c>
      <c r="Q874" s="42"/>
      <c r="R874" s="45">
        <v>0</v>
      </c>
    </row>
    <row r="875" spans="1:18" x14ac:dyDescent="0.2">
      <c r="A875" s="42"/>
      <c r="B875" s="42"/>
      <c r="C875" s="42"/>
      <c r="D875" s="42"/>
      <c r="E875" s="42" t="s">
        <v>425</v>
      </c>
      <c r="F875" s="45">
        <v>2225000</v>
      </c>
      <c r="G875" s="42"/>
      <c r="H875" s="45">
        <v>939000</v>
      </c>
      <c r="I875" s="42"/>
      <c r="J875" s="45">
        <v>1270000</v>
      </c>
      <c r="K875" s="42"/>
      <c r="L875" s="45">
        <v>16000</v>
      </c>
      <c r="M875" s="42"/>
      <c r="N875" s="45">
        <v>1448000</v>
      </c>
      <c r="O875" s="42"/>
      <c r="P875" s="45">
        <v>777000</v>
      </c>
      <c r="Q875" s="42"/>
      <c r="R875" s="45">
        <v>0</v>
      </c>
    </row>
    <row r="876" spans="1:18" x14ac:dyDescent="0.2">
      <c r="A876" s="42"/>
      <c r="B876" s="42"/>
      <c r="C876" s="42"/>
      <c r="D876" s="42"/>
      <c r="E876" s="42" t="s">
        <v>426</v>
      </c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</row>
    <row r="877" spans="1:18" x14ac:dyDescent="0.2">
      <c r="A877" s="42"/>
      <c r="B877" s="42"/>
      <c r="C877" s="42"/>
      <c r="D877" s="42"/>
      <c r="E877" s="42" t="s">
        <v>415</v>
      </c>
      <c r="F877" s="45">
        <v>940000</v>
      </c>
      <c r="G877" s="42"/>
      <c r="H877" s="45">
        <v>857000</v>
      </c>
      <c r="I877" s="42"/>
      <c r="J877" s="45">
        <v>83000</v>
      </c>
      <c r="K877" s="42"/>
      <c r="L877" s="45">
        <v>0</v>
      </c>
      <c r="M877" s="42"/>
      <c r="N877" s="45">
        <v>636000</v>
      </c>
      <c r="O877" s="42"/>
      <c r="P877" s="45">
        <v>304000</v>
      </c>
      <c r="Q877" s="42"/>
      <c r="R877" s="45">
        <v>0</v>
      </c>
    </row>
    <row r="878" spans="1:18" x14ac:dyDescent="0.2">
      <c r="A878" s="42"/>
      <c r="B878" s="42"/>
      <c r="C878" s="42"/>
      <c r="D878" s="42"/>
      <c r="E878" s="42" t="s">
        <v>427</v>
      </c>
      <c r="F878" s="45">
        <v>3407000</v>
      </c>
      <c r="G878" s="42"/>
      <c r="H878" s="45">
        <v>2786000</v>
      </c>
      <c r="I878" s="42"/>
      <c r="J878" s="45">
        <v>529000</v>
      </c>
      <c r="K878" s="42"/>
      <c r="L878" s="45">
        <v>92000</v>
      </c>
      <c r="M878" s="42"/>
      <c r="N878" s="45">
        <v>2057000</v>
      </c>
      <c r="O878" s="42"/>
      <c r="P878" s="45">
        <v>1350000</v>
      </c>
      <c r="Q878" s="42"/>
      <c r="R878" s="45">
        <v>0</v>
      </c>
    </row>
    <row r="879" spans="1:18" x14ac:dyDescent="0.2">
      <c r="A879" s="42"/>
      <c r="B879" s="42"/>
      <c r="C879" s="42"/>
      <c r="D879" s="42"/>
      <c r="E879" s="42" t="s">
        <v>428</v>
      </c>
      <c r="F879" s="45">
        <v>3227000</v>
      </c>
      <c r="G879" s="42"/>
      <c r="H879" s="45">
        <v>26000</v>
      </c>
      <c r="I879" s="42"/>
      <c r="J879" s="45">
        <v>3114000</v>
      </c>
      <c r="K879" s="42"/>
      <c r="L879" s="45">
        <v>87000</v>
      </c>
      <c r="M879" s="42"/>
      <c r="N879" s="45">
        <v>1690000</v>
      </c>
      <c r="O879" s="42"/>
      <c r="P879" s="45">
        <v>1537000</v>
      </c>
      <c r="Q879" s="42"/>
      <c r="R879" s="45">
        <v>0</v>
      </c>
    </row>
    <row r="880" spans="1:18" x14ac:dyDescent="0.2">
      <c r="A880" s="42"/>
      <c r="B880" s="42"/>
      <c r="C880" s="42"/>
      <c r="D880" s="42"/>
      <c r="E880" s="42" t="s">
        <v>429</v>
      </c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</row>
    <row r="881" spans="1:18" x14ac:dyDescent="0.2">
      <c r="A881" s="42"/>
      <c r="B881" s="42"/>
      <c r="C881" s="42"/>
      <c r="D881" s="42"/>
      <c r="E881" s="42" t="s">
        <v>430</v>
      </c>
      <c r="F881" s="43">
        <v>5030000</v>
      </c>
      <c r="G881" s="42"/>
      <c r="H881" s="43">
        <v>3115000</v>
      </c>
      <c r="I881" s="42"/>
      <c r="J881" s="43">
        <v>1777000</v>
      </c>
      <c r="K881" s="42"/>
      <c r="L881" s="43">
        <v>138000</v>
      </c>
      <c r="M881" s="42"/>
      <c r="N881" s="43">
        <v>3111000</v>
      </c>
      <c r="O881" s="42"/>
      <c r="P881" s="43">
        <v>1919000</v>
      </c>
      <c r="Q881" s="42"/>
      <c r="R881" s="43">
        <v>0</v>
      </c>
    </row>
    <row r="882" spans="1:18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</row>
    <row r="883" spans="1:18" x14ac:dyDescent="0.2">
      <c r="A883" s="42"/>
      <c r="B883" s="42"/>
      <c r="C883" s="42"/>
      <c r="D883" s="42"/>
      <c r="E883" s="42" t="s">
        <v>3</v>
      </c>
      <c r="F883" s="43">
        <v>30817000</v>
      </c>
      <c r="G883" s="42"/>
      <c r="H883" s="43">
        <v>15470000</v>
      </c>
      <c r="I883" s="42"/>
      <c r="J883" s="43">
        <v>15003000</v>
      </c>
      <c r="K883" s="42"/>
      <c r="L883" s="43">
        <v>344000</v>
      </c>
      <c r="M883" s="42"/>
      <c r="N883" s="43">
        <v>19733000</v>
      </c>
      <c r="O883" s="42"/>
      <c r="P883" s="43">
        <v>11084000</v>
      </c>
      <c r="Q883" s="42"/>
      <c r="R883" s="43">
        <v>0</v>
      </c>
    </row>
    <row r="884" spans="1:18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</row>
    <row r="885" spans="1:18" x14ac:dyDescent="0.2">
      <c r="A885" s="42"/>
      <c r="B885" s="42"/>
      <c r="C885" s="42" t="s">
        <v>431</v>
      </c>
      <c r="D885" s="42"/>
      <c r="E885" s="42"/>
      <c r="F885" s="43">
        <v>1438000</v>
      </c>
      <c r="G885" s="42"/>
      <c r="H885" s="43">
        <v>1279000</v>
      </c>
      <c r="I885" s="42"/>
      <c r="J885" s="43">
        <v>153000</v>
      </c>
      <c r="K885" s="42"/>
      <c r="L885" s="43">
        <v>6000</v>
      </c>
      <c r="M885" s="42"/>
      <c r="N885" s="43">
        <v>995000</v>
      </c>
      <c r="O885" s="42"/>
      <c r="P885" s="43">
        <v>443000</v>
      </c>
      <c r="Q885" s="42"/>
      <c r="R885" s="43">
        <v>0</v>
      </c>
    </row>
    <row r="886" spans="1:18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</row>
    <row r="887" spans="1:18" x14ac:dyDescent="0.2">
      <c r="A887" s="42"/>
      <c r="B887" s="42"/>
      <c r="C887" s="42" t="s">
        <v>432</v>
      </c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</row>
    <row r="888" spans="1:18" x14ac:dyDescent="0.2">
      <c r="A888" s="42"/>
      <c r="B888" s="42"/>
      <c r="C888" s="42"/>
      <c r="D888" s="42"/>
      <c r="E888" s="42" t="s">
        <v>433</v>
      </c>
      <c r="F888" s="45">
        <v>3287000</v>
      </c>
      <c r="G888" s="42"/>
      <c r="H888" s="45">
        <v>33000</v>
      </c>
      <c r="I888" s="42"/>
      <c r="J888" s="45">
        <v>3254000</v>
      </c>
      <c r="K888" s="42"/>
      <c r="L888" s="45">
        <v>0</v>
      </c>
      <c r="M888" s="42"/>
      <c r="N888" s="45">
        <v>2237000</v>
      </c>
      <c r="O888" s="42"/>
      <c r="P888" s="45">
        <v>1050000</v>
      </c>
      <c r="Q888" s="42"/>
      <c r="R888" s="45">
        <v>0</v>
      </c>
    </row>
    <row r="889" spans="1:18" x14ac:dyDescent="0.2">
      <c r="A889" s="42"/>
      <c r="B889" s="42"/>
      <c r="C889" s="42"/>
      <c r="D889" s="42"/>
      <c r="E889" s="42" t="s">
        <v>434</v>
      </c>
      <c r="F889" s="45">
        <v>1714000</v>
      </c>
      <c r="G889" s="42"/>
      <c r="H889" s="45">
        <v>13000</v>
      </c>
      <c r="I889" s="42"/>
      <c r="J889" s="45">
        <v>1701000</v>
      </c>
      <c r="K889" s="42"/>
      <c r="L889" s="45">
        <v>0</v>
      </c>
      <c r="M889" s="42"/>
      <c r="N889" s="45">
        <v>1149000</v>
      </c>
      <c r="O889" s="42"/>
      <c r="P889" s="45">
        <v>565000</v>
      </c>
      <c r="Q889" s="42"/>
      <c r="R889" s="45">
        <v>0</v>
      </c>
    </row>
    <row r="890" spans="1:18" x14ac:dyDescent="0.2">
      <c r="A890" s="42"/>
      <c r="B890" s="42"/>
      <c r="C890" s="42"/>
      <c r="D890" s="42"/>
      <c r="E890" s="42" t="s">
        <v>435</v>
      </c>
      <c r="F890" s="43">
        <v>1354000</v>
      </c>
      <c r="G890" s="42"/>
      <c r="H890" s="43">
        <v>0</v>
      </c>
      <c r="I890" s="42"/>
      <c r="J890" s="43">
        <v>1354000</v>
      </c>
      <c r="K890" s="42"/>
      <c r="L890" s="43">
        <v>0</v>
      </c>
      <c r="M890" s="42"/>
      <c r="N890" s="43">
        <v>680000</v>
      </c>
      <c r="O890" s="42"/>
      <c r="P890" s="43">
        <v>674000</v>
      </c>
      <c r="Q890" s="42"/>
      <c r="R890" s="43">
        <v>0</v>
      </c>
    </row>
    <row r="891" spans="1:18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</row>
    <row r="892" spans="1:18" x14ac:dyDescent="0.2">
      <c r="A892" s="42"/>
      <c r="B892" s="42"/>
      <c r="C892" s="42"/>
      <c r="D892" s="42"/>
      <c r="E892" s="42" t="s">
        <v>3</v>
      </c>
      <c r="F892" s="43">
        <v>6355000</v>
      </c>
      <c r="G892" s="42"/>
      <c r="H892" s="43">
        <v>46000</v>
      </c>
      <c r="I892" s="42"/>
      <c r="J892" s="43">
        <v>6309000</v>
      </c>
      <c r="K892" s="42"/>
      <c r="L892" s="43">
        <v>0</v>
      </c>
      <c r="M892" s="42"/>
      <c r="N892" s="43">
        <v>4066000</v>
      </c>
      <c r="O892" s="42"/>
      <c r="P892" s="43">
        <v>2289000</v>
      </c>
      <c r="Q892" s="42"/>
      <c r="R892" s="43">
        <v>0</v>
      </c>
    </row>
    <row r="893" spans="1:18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</row>
    <row r="894" spans="1:18" x14ac:dyDescent="0.2">
      <c r="A894" s="42"/>
      <c r="B894" s="42"/>
      <c r="C894" s="42" t="s">
        <v>436</v>
      </c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</row>
    <row r="895" spans="1:18" x14ac:dyDescent="0.2">
      <c r="A895" s="42"/>
      <c r="B895" s="42"/>
      <c r="C895" s="42"/>
      <c r="D895" s="42"/>
      <c r="E895" s="42" t="s">
        <v>437</v>
      </c>
      <c r="F895" s="45">
        <v>5504000</v>
      </c>
      <c r="G895" s="42"/>
      <c r="H895" s="45">
        <v>2475000</v>
      </c>
      <c r="I895" s="42"/>
      <c r="J895" s="45">
        <v>3029000</v>
      </c>
      <c r="K895" s="42"/>
      <c r="L895" s="45">
        <v>0</v>
      </c>
      <c r="M895" s="42"/>
      <c r="N895" s="45">
        <v>4246000</v>
      </c>
      <c r="O895" s="42"/>
      <c r="P895" s="45">
        <v>1505000</v>
      </c>
      <c r="Q895" s="42"/>
      <c r="R895" s="45">
        <v>247000</v>
      </c>
    </row>
    <row r="896" spans="1:18" x14ac:dyDescent="0.2">
      <c r="A896" s="42"/>
      <c r="B896" s="42"/>
      <c r="C896" s="42"/>
      <c r="D896" s="42"/>
      <c r="E896" s="42" t="s">
        <v>438</v>
      </c>
      <c r="F896" s="45">
        <v>2347000</v>
      </c>
      <c r="G896" s="42"/>
      <c r="H896" s="45">
        <v>1524000</v>
      </c>
      <c r="I896" s="42"/>
      <c r="J896" s="45">
        <v>823000</v>
      </c>
      <c r="K896" s="42"/>
      <c r="L896" s="45">
        <v>0</v>
      </c>
      <c r="M896" s="42"/>
      <c r="N896" s="45">
        <v>1399000</v>
      </c>
      <c r="O896" s="42"/>
      <c r="P896" s="45">
        <v>948000</v>
      </c>
      <c r="Q896" s="42"/>
      <c r="R896" s="45">
        <v>0</v>
      </c>
    </row>
    <row r="897" spans="1:18" x14ac:dyDescent="0.2">
      <c r="A897" s="42"/>
      <c r="B897" s="42"/>
      <c r="C897" s="42"/>
      <c r="D897" s="42"/>
      <c r="E897" s="42" t="s">
        <v>439</v>
      </c>
      <c r="F897" s="45">
        <v>1700000</v>
      </c>
      <c r="G897" s="42"/>
      <c r="H897" s="45">
        <v>1171000</v>
      </c>
      <c r="I897" s="42"/>
      <c r="J897" s="45">
        <v>529000</v>
      </c>
      <c r="K897" s="42"/>
      <c r="L897" s="45">
        <v>0</v>
      </c>
      <c r="M897" s="42"/>
      <c r="N897" s="45">
        <v>1206000</v>
      </c>
      <c r="O897" s="42"/>
      <c r="P897" s="45">
        <v>494000</v>
      </c>
      <c r="Q897" s="42"/>
      <c r="R897" s="45">
        <v>0</v>
      </c>
    </row>
    <row r="898" spans="1:18" x14ac:dyDescent="0.2">
      <c r="A898" s="42"/>
      <c r="B898" s="42"/>
      <c r="C898" s="42"/>
      <c r="D898" s="42"/>
      <c r="E898" s="42" t="s">
        <v>440</v>
      </c>
      <c r="F898" s="43">
        <v>2337000</v>
      </c>
      <c r="G898" s="42"/>
      <c r="H898" s="43">
        <v>1681000</v>
      </c>
      <c r="I898" s="42"/>
      <c r="J898" s="43">
        <v>656000</v>
      </c>
      <c r="K898" s="42"/>
      <c r="L898" s="43">
        <v>0</v>
      </c>
      <c r="M898" s="42"/>
      <c r="N898" s="43">
        <v>1533000</v>
      </c>
      <c r="O898" s="42"/>
      <c r="P898" s="43">
        <v>804000</v>
      </c>
      <c r="Q898" s="42"/>
      <c r="R898" s="43">
        <v>0</v>
      </c>
    </row>
    <row r="899" spans="1:18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</row>
    <row r="900" spans="1:18" x14ac:dyDescent="0.2">
      <c r="A900" s="42"/>
      <c r="B900" s="42"/>
      <c r="C900" s="42"/>
      <c r="D900" s="42"/>
      <c r="E900" s="42" t="s">
        <v>60</v>
      </c>
      <c r="F900" s="43">
        <v>11888000</v>
      </c>
      <c r="G900" s="42"/>
      <c r="H900" s="43">
        <v>6851000</v>
      </c>
      <c r="I900" s="42"/>
      <c r="J900" s="43">
        <v>5037000</v>
      </c>
      <c r="K900" s="42"/>
      <c r="L900" s="43">
        <v>0</v>
      </c>
      <c r="M900" s="42"/>
      <c r="N900" s="43">
        <v>8384000</v>
      </c>
      <c r="O900" s="42"/>
      <c r="P900" s="43">
        <v>3751000</v>
      </c>
      <c r="Q900" s="42"/>
      <c r="R900" s="43">
        <v>247000</v>
      </c>
    </row>
    <row r="901" spans="1:18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</row>
    <row r="902" spans="1:18" x14ac:dyDescent="0.2">
      <c r="A902" s="42"/>
      <c r="B902" s="42"/>
      <c r="C902" s="42" t="s">
        <v>441</v>
      </c>
      <c r="D902" s="42"/>
      <c r="E902" s="42"/>
      <c r="F902" s="43">
        <v>1180000</v>
      </c>
      <c r="G902" s="42"/>
      <c r="H902" s="43">
        <v>153000</v>
      </c>
      <c r="I902" s="42"/>
      <c r="J902" s="43">
        <v>1027000</v>
      </c>
      <c r="K902" s="42"/>
      <c r="L902" s="43">
        <v>0</v>
      </c>
      <c r="M902" s="42"/>
      <c r="N902" s="43">
        <v>795000</v>
      </c>
      <c r="O902" s="42"/>
      <c r="P902" s="43">
        <v>385000</v>
      </c>
      <c r="Q902" s="42"/>
      <c r="R902" s="43">
        <v>0</v>
      </c>
    </row>
    <row r="903" spans="1:18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</row>
    <row r="904" spans="1:18" x14ac:dyDescent="0.2">
      <c r="A904" s="42"/>
      <c r="B904" s="42"/>
      <c r="C904" s="42" t="s">
        <v>442</v>
      </c>
      <c r="D904" s="42"/>
      <c r="E904" s="42"/>
      <c r="F904" s="43">
        <v>3159000</v>
      </c>
      <c r="G904" s="42"/>
      <c r="H904" s="43">
        <v>363000</v>
      </c>
      <c r="I904" s="42"/>
      <c r="J904" s="43">
        <v>2796000</v>
      </c>
      <c r="K904" s="42"/>
      <c r="L904" s="43">
        <v>0</v>
      </c>
      <c r="M904" s="42"/>
      <c r="N904" s="43">
        <v>1915000</v>
      </c>
      <c r="O904" s="42"/>
      <c r="P904" s="43">
        <v>1244000</v>
      </c>
      <c r="Q904" s="42"/>
      <c r="R904" s="43">
        <v>0</v>
      </c>
    </row>
    <row r="905" spans="1:18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</row>
    <row r="906" spans="1:18" x14ac:dyDescent="0.2">
      <c r="A906" s="42"/>
      <c r="B906" s="42"/>
      <c r="C906" s="42" t="s">
        <v>443</v>
      </c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</row>
    <row r="907" spans="1:18" x14ac:dyDescent="0.2">
      <c r="A907" s="42"/>
      <c r="B907" s="42"/>
      <c r="C907" s="42"/>
      <c r="D907" s="42" t="s">
        <v>33</v>
      </c>
      <c r="E907" s="42"/>
      <c r="F907" s="43">
        <v>5110000</v>
      </c>
      <c r="G907" s="42"/>
      <c r="H907" s="43">
        <v>220000</v>
      </c>
      <c r="I907" s="42"/>
      <c r="J907" s="43">
        <v>4790000</v>
      </c>
      <c r="K907" s="42"/>
      <c r="L907" s="43">
        <v>100000</v>
      </c>
      <c r="M907" s="42"/>
      <c r="N907" s="43">
        <v>3094000</v>
      </c>
      <c r="O907" s="42"/>
      <c r="P907" s="43">
        <v>2369000</v>
      </c>
      <c r="Q907" s="42"/>
      <c r="R907" s="43">
        <v>353000</v>
      </c>
    </row>
    <row r="908" spans="1:18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</row>
    <row r="909" spans="1:18" x14ac:dyDescent="0.2">
      <c r="A909" s="42"/>
      <c r="B909" s="42"/>
      <c r="C909" s="42" t="s">
        <v>444</v>
      </c>
      <c r="D909" s="42"/>
      <c r="E909" s="42"/>
      <c r="F909" s="43">
        <v>10336000</v>
      </c>
      <c r="G909" s="42"/>
      <c r="H909" s="43">
        <v>8153000</v>
      </c>
      <c r="I909" s="42"/>
      <c r="J909" s="43">
        <v>2137000</v>
      </c>
      <c r="K909" s="42"/>
      <c r="L909" s="43">
        <v>46000</v>
      </c>
      <c r="M909" s="42"/>
      <c r="N909" s="43">
        <v>4906000</v>
      </c>
      <c r="O909" s="42"/>
      <c r="P909" s="43">
        <v>5437000</v>
      </c>
      <c r="Q909" s="42"/>
      <c r="R909" s="43">
        <v>7000</v>
      </c>
    </row>
    <row r="910" spans="1:18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</row>
    <row r="911" spans="1:18" x14ac:dyDescent="0.2">
      <c r="A911" s="42"/>
      <c r="B911" s="42"/>
      <c r="C911" s="42" t="s">
        <v>445</v>
      </c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</row>
    <row r="912" spans="1:18" x14ac:dyDescent="0.2">
      <c r="A912" s="42"/>
      <c r="B912" s="42"/>
      <c r="C912" s="42"/>
      <c r="D912" s="42"/>
      <c r="E912" s="42" t="s">
        <v>326</v>
      </c>
      <c r="F912" s="45">
        <v>12467000</v>
      </c>
      <c r="G912" s="42"/>
      <c r="H912" s="45">
        <v>6720000</v>
      </c>
      <c r="I912" s="42"/>
      <c r="J912" s="45">
        <v>5747000</v>
      </c>
      <c r="K912" s="42"/>
      <c r="L912" s="45">
        <v>0</v>
      </c>
      <c r="M912" s="42"/>
      <c r="N912" s="45">
        <v>5421000</v>
      </c>
      <c r="O912" s="42"/>
      <c r="P912" s="45">
        <v>10701000</v>
      </c>
      <c r="Q912" s="42"/>
      <c r="R912" s="45">
        <v>3655000</v>
      </c>
    </row>
    <row r="913" spans="1:18" x14ac:dyDescent="0.2">
      <c r="A913" s="42"/>
      <c r="B913" s="42"/>
      <c r="C913" s="42"/>
      <c r="D913" s="42"/>
      <c r="E913" s="42" t="s">
        <v>446</v>
      </c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</row>
    <row r="914" spans="1:18" x14ac:dyDescent="0.2">
      <c r="A914" s="42"/>
      <c r="B914" s="42"/>
      <c r="C914" s="42"/>
      <c r="D914" s="42"/>
      <c r="E914" s="42" t="s">
        <v>447</v>
      </c>
      <c r="F914" s="45">
        <v>1651000</v>
      </c>
      <c r="G914" s="42"/>
      <c r="H914" s="45">
        <v>912000</v>
      </c>
      <c r="I914" s="42"/>
      <c r="J914" s="45">
        <v>739000</v>
      </c>
      <c r="K914" s="42"/>
      <c r="L914" s="45">
        <v>0</v>
      </c>
      <c r="M914" s="42"/>
      <c r="N914" s="45">
        <v>706000</v>
      </c>
      <c r="O914" s="42"/>
      <c r="P914" s="45">
        <v>945000</v>
      </c>
      <c r="Q914" s="42"/>
      <c r="R914" s="45">
        <v>0</v>
      </c>
    </row>
    <row r="915" spans="1:18" x14ac:dyDescent="0.2">
      <c r="A915" s="42"/>
      <c r="B915" s="42"/>
      <c r="C915" s="42"/>
      <c r="D915" s="42"/>
      <c r="E915" s="42" t="s">
        <v>448</v>
      </c>
      <c r="F915" s="45">
        <v>220000</v>
      </c>
      <c r="G915" s="42"/>
      <c r="H915" s="45">
        <v>2000</v>
      </c>
      <c r="I915" s="42"/>
      <c r="J915" s="45">
        <v>218000</v>
      </c>
      <c r="K915" s="42"/>
      <c r="L915" s="45">
        <v>0</v>
      </c>
      <c r="M915" s="42"/>
      <c r="N915" s="45">
        <v>132000</v>
      </c>
      <c r="O915" s="42"/>
      <c r="P915" s="45">
        <v>88000</v>
      </c>
      <c r="Q915" s="42"/>
      <c r="R915" s="45">
        <v>0</v>
      </c>
    </row>
    <row r="916" spans="1:18" x14ac:dyDescent="0.2">
      <c r="A916" s="42"/>
      <c r="B916" s="42"/>
      <c r="C916" s="42"/>
      <c r="D916" s="42"/>
      <c r="E916" s="42" t="s">
        <v>449</v>
      </c>
      <c r="F916" s="45">
        <v>2556000</v>
      </c>
      <c r="G916" s="42"/>
      <c r="H916" s="45">
        <v>961000</v>
      </c>
      <c r="I916" s="42"/>
      <c r="J916" s="45">
        <v>1595000</v>
      </c>
      <c r="K916" s="42"/>
      <c r="L916" s="45">
        <v>0</v>
      </c>
      <c r="M916" s="42"/>
      <c r="N916" s="45">
        <v>1549000</v>
      </c>
      <c r="O916" s="42"/>
      <c r="P916" s="45">
        <v>1007000</v>
      </c>
      <c r="Q916" s="42"/>
      <c r="R916" s="45">
        <v>0</v>
      </c>
    </row>
    <row r="917" spans="1:18" x14ac:dyDescent="0.2">
      <c r="A917" s="42"/>
      <c r="B917" s="42"/>
      <c r="C917" s="42"/>
      <c r="D917" s="42"/>
      <c r="E917" s="42" t="s">
        <v>450</v>
      </c>
      <c r="F917" s="43">
        <v>6414000</v>
      </c>
      <c r="G917" s="42"/>
      <c r="H917" s="43">
        <v>5363000</v>
      </c>
      <c r="I917" s="42"/>
      <c r="J917" s="43">
        <v>1051000</v>
      </c>
      <c r="K917" s="42"/>
      <c r="L917" s="43">
        <v>0</v>
      </c>
      <c r="M917" s="42"/>
      <c r="N917" s="43">
        <v>4001000</v>
      </c>
      <c r="O917" s="42"/>
      <c r="P917" s="43">
        <v>4653000</v>
      </c>
      <c r="Q917" s="42"/>
      <c r="R917" s="43">
        <v>2240000</v>
      </c>
    </row>
    <row r="918" spans="1:18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</row>
    <row r="919" spans="1:18" x14ac:dyDescent="0.2">
      <c r="A919" s="42"/>
      <c r="B919" s="42"/>
      <c r="C919" s="42"/>
      <c r="D919" s="42"/>
      <c r="E919" s="42" t="s">
        <v>60</v>
      </c>
      <c r="F919" s="43">
        <v>23308000</v>
      </c>
      <c r="G919" s="42"/>
      <c r="H919" s="43">
        <v>13958000</v>
      </c>
      <c r="I919" s="42"/>
      <c r="J919" s="43">
        <v>9350000</v>
      </c>
      <c r="K919" s="42"/>
      <c r="L919" s="43">
        <v>0</v>
      </c>
      <c r="M919" s="42"/>
      <c r="N919" s="43">
        <v>11809000</v>
      </c>
      <c r="O919" s="42"/>
      <c r="P919" s="43">
        <v>17394000</v>
      </c>
      <c r="Q919" s="42"/>
      <c r="R919" s="43">
        <v>5895000</v>
      </c>
    </row>
    <row r="920" spans="1:18" x14ac:dyDescent="0.2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</row>
    <row r="921" spans="1:18" x14ac:dyDescent="0.2">
      <c r="A921" s="42"/>
      <c r="B921" s="42"/>
      <c r="C921" s="42" t="s">
        <v>451</v>
      </c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</row>
    <row r="922" spans="1:18" x14ac:dyDescent="0.2">
      <c r="A922" s="42"/>
      <c r="B922" s="42"/>
      <c r="C922" s="42"/>
      <c r="D922" s="42" t="s">
        <v>452</v>
      </c>
      <c r="E922" s="42"/>
      <c r="F922" s="43">
        <v>3015000</v>
      </c>
      <c r="G922" s="42"/>
      <c r="H922" s="43">
        <v>1707000</v>
      </c>
      <c r="I922" s="42"/>
      <c r="J922" s="43">
        <v>1306000</v>
      </c>
      <c r="K922" s="42"/>
      <c r="L922" s="43">
        <v>2000</v>
      </c>
      <c r="M922" s="42"/>
      <c r="N922" s="43">
        <v>2900000</v>
      </c>
      <c r="O922" s="42"/>
      <c r="P922" s="43">
        <v>954000</v>
      </c>
      <c r="Q922" s="42"/>
      <c r="R922" s="43">
        <v>839000</v>
      </c>
    </row>
    <row r="923" spans="1:18" x14ac:dyDescent="0.2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</row>
    <row r="924" spans="1:18" x14ac:dyDescent="0.2">
      <c r="A924" s="42"/>
      <c r="B924" s="42"/>
      <c r="C924" s="42" t="s">
        <v>453</v>
      </c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</row>
    <row r="925" spans="1:18" x14ac:dyDescent="0.2">
      <c r="A925" s="42"/>
      <c r="B925" s="42"/>
      <c r="C925" s="42"/>
      <c r="D925" s="42"/>
      <c r="E925" s="42" t="s">
        <v>454</v>
      </c>
      <c r="F925" s="45">
        <v>5515000</v>
      </c>
      <c r="G925" s="42"/>
      <c r="H925" s="45">
        <v>5205000</v>
      </c>
      <c r="I925" s="42"/>
      <c r="J925" s="45">
        <v>308000</v>
      </c>
      <c r="K925" s="42"/>
      <c r="L925" s="45">
        <v>2000</v>
      </c>
      <c r="M925" s="42"/>
      <c r="N925" s="45">
        <v>3300000</v>
      </c>
      <c r="O925" s="42"/>
      <c r="P925" s="45">
        <v>2215000</v>
      </c>
      <c r="Q925" s="42"/>
      <c r="R925" s="45">
        <v>0</v>
      </c>
    </row>
    <row r="926" spans="1:18" x14ac:dyDescent="0.2">
      <c r="A926" s="42"/>
      <c r="B926" s="42"/>
      <c r="C926" s="42"/>
      <c r="D926" s="42"/>
      <c r="E926" s="42" t="s">
        <v>455</v>
      </c>
      <c r="F926" s="43">
        <v>317000</v>
      </c>
      <c r="G926" s="42"/>
      <c r="H926" s="43">
        <v>204000</v>
      </c>
      <c r="I926" s="42"/>
      <c r="J926" s="43">
        <v>67000</v>
      </c>
      <c r="K926" s="42"/>
      <c r="L926" s="43">
        <v>46000</v>
      </c>
      <c r="M926" s="42"/>
      <c r="N926" s="43">
        <v>176000</v>
      </c>
      <c r="O926" s="42"/>
      <c r="P926" s="43">
        <v>141000</v>
      </c>
      <c r="Q926" s="42"/>
      <c r="R926" s="43">
        <v>0</v>
      </c>
    </row>
    <row r="927" spans="1:18" x14ac:dyDescent="0.2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</row>
    <row r="928" spans="1:18" x14ac:dyDescent="0.2">
      <c r="A928" s="42"/>
      <c r="B928" s="42"/>
      <c r="C928" s="42"/>
      <c r="D928" s="42"/>
      <c r="E928" s="42" t="s">
        <v>60</v>
      </c>
      <c r="F928" s="43">
        <v>5832000</v>
      </c>
      <c r="G928" s="42"/>
      <c r="H928" s="43">
        <v>5409000</v>
      </c>
      <c r="I928" s="42"/>
      <c r="J928" s="43">
        <v>375000</v>
      </c>
      <c r="K928" s="42"/>
      <c r="L928" s="43">
        <v>48000</v>
      </c>
      <c r="M928" s="42"/>
      <c r="N928" s="43">
        <v>3476000</v>
      </c>
      <c r="O928" s="42"/>
      <c r="P928" s="43">
        <v>2356000</v>
      </c>
      <c r="Q928" s="42"/>
      <c r="R928" s="43">
        <v>0</v>
      </c>
    </row>
    <row r="929" spans="1:18" x14ac:dyDescent="0.2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</row>
    <row r="930" spans="1:18" x14ac:dyDescent="0.2">
      <c r="A930" s="42"/>
      <c r="B930" s="42"/>
      <c r="C930" s="42" t="s">
        <v>456</v>
      </c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</row>
    <row r="931" spans="1:18" x14ac:dyDescent="0.2">
      <c r="A931" s="42"/>
      <c r="B931" s="42"/>
      <c r="C931" s="42"/>
      <c r="D931" s="42"/>
      <c r="E931" s="42" t="s">
        <v>457</v>
      </c>
      <c r="F931" s="45">
        <v>2571000</v>
      </c>
      <c r="G931" s="42"/>
      <c r="H931" s="45">
        <v>856000</v>
      </c>
      <c r="I931" s="42"/>
      <c r="J931" s="45">
        <v>1615000</v>
      </c>
      <c r="K931" s="42"/>
      <c r="L931" s="45">
        <v>100000</v>
      </c>
      <c r="M931" s="42"/>
      <c r="N931" s="45">
        <v>1258000</v>
      </c>
      <c r="O931" s="42"/>
      <c r="P931" s="45">
        <v>1313000</v>
      </c>
      <c r="Q931" s="42"/>
      <c r="R931" s="45">
        <v>0</v>
      </c>
    </row>
    <row r="932" spans="1:18" x14ac:dyDescent="0.2">
      <c r="A932" s="42"/>
      <c r="B932" s="42"/>
      <c r="C932" s="42"/>
      <c r="D932" s="42"/>
      <c r="E932" s="42" t="s">
        <v>458</v>
      </c>
      <c r="F932" s="45">
        <v>4243000</v>
      </c>
      <c r="G932" s="42"/>
      <c r="H932" s="45">
        <v>0</v>
      </c>
      <c r="I932" s="42"/>
      <c r="J932" s="45">
        <v>4195000</v>
      </c>
      <c r="K932" s="42"/>
      <c r="L932" s="45">
        <v>48000</v>
      </c>
      <c r="M932" s="42"/>
      <c r="N932" s="45">
        <v>2411000</v>
      </c>
      <c r="O932" s="42"/>
      <c r="P932" s="45">
        <v>1857000</v>
      </c>
      <c r="Q932" s="42"/>
      <c r="R932" s="45">
        <v>25000</v>
      </c>
    </row>
    <row r="933" spans="1:18" x14ac:dyDescent="0.2">
      <c r="A933" s="42"/>
      <c r="B933" s="42"/>
      <c r="C933" s="42"/>
      <c r="D933" s="42"/>
      <c r="E933" s="42" t="s">
        <v>459</v>
      </c>
      <c r="F933" s="45">
        <v>537000</v>
      </c>
      <c r="G933" s="42"/>
      <c r="H933" s="45">
        <v>0</v>
      </c>
      <c r="I933" s="42"/>
      <c r="J933" s="45">
        <v>537000</v>
      </c>
      <c r="K933" s="42"/>
      <c r="L933" s="45">
        <v>0</v>
      </c>
      <c r="M933" s="42"/>
      <c r="N933" s="45">
        <v>394000</v>
      </c>
      <c r="O933" s="42"/>
      <c r="P933" s="45">
        <v>144000</v>
      </c>
      <c r="Q933" s="42"/>
      <c r="R933" s="45">
        <v>1000</v>
      </c>
    </row>
    <row r="934" spans="1:18" x14ac:dyDescent="0.2">
      <c r="A934" s="42"/>
      <c r="B934" s="42"/>
      <c r="C934" s="42"/>
      <c r="D934" s="42"/>
      <c r="E934" s="42" t="s">
        <v>297</v>
      </c>
      <c r="F934" s="45">
        <v>64050000</v>
      </c>
      <c r="G934" s="42"/>
      <c r="H934" s="45">
        <v>0</v>
      </c>
      <c r="I934" s="42"/>
      <c r="J934" s="45">
        <v>64039000</v>
      </c>
      <c r="K934" s="42"/>
      <c r="L934" s="45">
        <v>11000</v>
      </c>
      <c r="M934" s="42"/>
      <c r="N934" s="45">
        <v>41343000</v>
      </c>
      <c r="O934" s="42"/>
      <c r="P934" s="45">
        <v>22707000</v>
      </c>
      <c r="Q934" s="42"/>
      <c r="R934" s="45">
        <v>0</v>
      </c>
    </row>
    <row r="935" spans="1:18" x14ac:dyDescent="0.2">
      <c r="A935" s="42"/>
      <c r="B935" s="42"/>
      <c r="C935" s="42"/>
      <c r="D935" s="42"/>
      <c r="E935" s="42" t="s">
        <v>460</v>
      </c>
      <c r="F935" s="45">
        <v>700000</v>
      </c>
      <c r="G935" s="42"/>
      <c r="H935" s="45">
        <v>293000</v>
      </c>
      <c r="I935" s="42"/>
      <c r="J935" s="45">
        <v>377000</v>
      </c>
      <c r="K935" s="42"/>
      <c r="L935" s="45">
        <v>30000</v>
      </c>
      <c r="M935" s="42"/>
      <c r="N935" s="45">
        <v>448000</v>
      </c>
      <c r="O935" s="42"/>
      <c r="P935" s="45">
        <v>252000</v>
      </c>
      <c r="Q935" s="42"/>
      <c r="R935" s="45">
        <v>0</v>
      </c>
    </row>
    <row r="936" spans="1:18" x14ac:dyDescent="0.2">
      <c r="A936" s="42"/>
      <c r="B936" s="42"/>
      <c r="C936" s="42"/>
      <c r="D936" s="42"/>
      <c r="E936" s="42" t="s">
        <v>461</v>
      </c>
      <c r="F936" s="45">
        <v>1728000</v>
      </c>
      <c r="G936" s="42"/>
      <c r="H936" s="45">
        <v>1118000</v>
      </c>
      <c r="I936" s="42"/>
      <c r="J936" s="45">
        <v>535000</v>
      </c>
      <c r="K936" s="42"/>
      <c r="L936" s="45">
        <v>75000</v>
      </c>
      <c r="M936" s="42"/>
      <c r="N936" s="45">
        <v>1099000</v>
      </c>
      <c r="O936" s="42"/>
      <c r="P936" s="45">
        <v>629000</v>
      </c>
      <c r="Q936" s="42"/>
      <c r="R936" s="45">
        <v>0</v>
      </c>
    </row>
    <row r="937" spans="1:18" x14ac:dyDescent="0.2">
      <c r="A937" s="42"/>
      <c r="B937" s="42"/>
      <c r="C937" s="42"/>
      <c r="D937" s="42"/>
      <c r="E937" s="42" t="s">
        <v>462</v>
      </c>
      <c r="F937" s="45">
        <v>2000</v>
      </c>
      <c r="G937" s="42"/>
      <c r="H937" s="45">
        <v>0</v>
      </c>
      <c r="I937" s="42"/>
      <c r="J937" s="45">
        <v>2000</v>
      </c>
      <c r="K937" s="42"/>
      <c r="L937" s="45">
        <v>0</v>
      </c>
      <c r="M937" s="42"/>
      <c r="N937" s="45">
        <v>0</v>
      </c>
      <c r="O937" s="42"/>
      <c r="P937" s="45">
        <v>2000</v>
      </c>
      <c r="Q937" s="42"/>
      <c r="R937" s="45">
        <v>0</v>
      </c>
    </row>
    <row r="938" spans="1:18" x14ac:dyDescent="0.2">
      <c r="A938" s="42"/>
      <c r="B938" s="42"/>
      <c r="C938" s="42"/>
      <c r="D938" s="42"/>
      <c r="E938" s="42" t="s">
        <v>234</v>
      </c>
      <c r="F938" s="43">
        <v>1347000</v>
      </c>
      <c r="G938" s="42"/>
      <c r="H938" s="43">
        <v>39106000</v>
      </c>
      <c r="I938" s="42"/>
      <c r="J938" s="43">
        <v>-53946000</v>
      </c>
      <c r="K938" s="42"/>
      <c r="L938" s="43">
        <v>14187000</v>
      </c>
      <c r="M938" s="42"/>
      <c r="N938" s="43">
        <v>12791000</v>
      </c>
      <c r="O938" s="42"/>
      <c r="P938" s="43">
        <v>-11056000</v>
      </c>
      <c r="Q938" s="42"/>
      <c r="R938" s="43">
        <v>2388000</v>
      </c>
    </row>
    <row r="939" spans="1:18" x14ac:dyDescent="0.2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</row>
    <row r="940" spans="1:18" x14ac:dyDescent="0.2">
      <c r="A940" s="42"/>
      <c r="B940" s="42"/>
      <c r="C940" s="42"/>
      <c r="D940" s="42"/>
      <c r="E940" s="42" t="s">
        <v>60</v>
      </c>
      <c r="F940" s="43">
        <v>73178000</v>
      </c>
      <c r="G940" s="42"/>
      <c r="H940" s="43">
        <v>41373000</v>
      </c>
      <c r="I940" s="42"/>
      <c r="J940" s="43">
        <v>17354000</v>
      </c>
      <c r="K940" s="42"/>
      <c r="L940" s="43">
        <v>14451000</v>
      </c>
      <c r="M940" s="42"/>
      <c r="N940" s="43">
        <v>59744000</v>
      </c>
      <c r="O940" s="42"/>
      <c r="P940" s="43">
        <v>15848000</v>
      </c>
      <c r="Q940" s="42"/>
      <c r="R940" s="43">
        <v>2414000</v>
      </c>
    </row>
    <row r="941" spans="1:18" x14ac:dyDescent="0.2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</row>
    <row r="942" spans="1:18" x14ac:dyDescent="0.2">
      <c r="A942" s="42"/>
      <c r="B942" s="42"/>
      <c r="C942" s="42" t="s">
        <v>463</v>
      </c>
      <c r="D942" s="42"/>
      <c r="E942" s="42"/>
      <c r="F942" s="43">
        <v>164000</v>
      </c>
      <c r="G942" s="42"/>
      <c r="H942" s="43">
        <v>0</v>
      </c>
      <c r="I942" s="42"/>
      <c r="J942" s="43">
        <v>164000</v>
      </c>
      <c r="K942" s="42"/>
      <c r="L942" s="43">
        <v>0</v>
      </c>
      <c r="M942" s="42"/>
      <c r="N942" s="43">
        <v>532000</v>
      </c>
      <c r="O942" s="42"/>
      <c r="P942" s="43">
        <v>551000</v>
      </c>
      <c r="Q942" s="42"/>
      <c r="R942" s="43">
        <v>919000</v>
      </c>
    </row>
    <row r="943" spans="1:18" x14ac:dyDescent="0.2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</row>
    <row r="944" spans="1:18" x14ac:dyDescent="0.2">
      <c r="A944" s="42"/>
      <c r="B944" s="42"/>
      <c r="C944" s="42" t="s">
        <v>464</v>
      </c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</row>
    <row r="945" spans="1:18" x14ac:dyDescent="0.2">
      <c r="A945" s="42"/>
      <c r="B945" s="42"/>
      <c r="C945" s="42"/>
      <c r="D945" s="42"/>
      <c r="E945" s="42" t="s">
        <v>465</v>
      </c>
      <c r="F945" s="45">
        <v>341000</v>
      </c>
      <c r="G945" s="42"/>
      <c r="H945" s="45">
        <v>0</v>
      </c>
      <c r="I945" s="42"/>
      <c r="J945" s="45">
        <v>341000</v>
      </c>
      <c r="K945" s="42"/>
      <c r="L945" s="45">
        <v>0</v>
      </c>
      <c r="M945" s="42"/>
      <c r="N945" s="45">
        <v>168000</v>
      </c>
      <c r="O945" s="42"/>
      <c r="P945" s="45">
        <v>1376000</v>
      </c>
      <c r="Q945" s="42"/>
      <c r="R945" s="45">
        <v>1203000</v>
      </c>
    </row>
    <row r="946" spans="1:18" x14ac:dyDescent="0.2">
      <c r="A946" s="42"/>
      <c r="B946" s="42"/>
      <c r="C946" s="42"/>
      <c r="D946" s="42"/>
      <c r="E946" s="42" t="s">
        <v>466</v>
      </c>
      <c r="F946" s="43">
        <v>3552000</v>
      </c>
      <c r="G946" s="42"/>
      <c r="H946" s="43">
        <v>0</v>
      </c>
      <c r="I946" s="42"/>
      <c r="J946" s="43">
        <v>3552000</v>
      </c>
      <c r="K946" s="42"/>
      <c r="L946" s="43">
        <v>0</v>
      </c>
      <c r="M946" s="42"/>
      <c r="N946" s="43">
        <v>1321000</v>
      </c>
      <c r="O946" s="42"/>
      <c r="P946" s="43">
        <v>2250000</v>
      </c>
      <c r="Q946" s="42"/>
      <c r="R946" s="43">
        <v>19000</v>
      </c>
    </row>
    <row r="947" spans="1:18" x14ac:dyDescent="0.2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</row>
    <row r="948" spans="1:18" x14ac:dyDescent="0.2">
      <c r="A948" s="42"/>
      <c r="B948" s="42"/>
      <c r="C948" s="42"/>
      <c r="D948" s="42"/>
      <c r="E948" s="42" t="s">
        <v>3</v>
      </c>
      <c r="F948" s="43">
        <v>3893000</v>
      </c>
      <c r="G948" s="42"/>
      <c r="H948" s="43">
        <v>0</v>
      </c>
      <c r="I948" s="42"/>
      <c r="J948" s="43">
        <v>3893000</v>
      </c>
      <c r="K948" s="42"/>
      <c r="L948" s="43">
        <v>0</v>
      </c>
      <c r="M948" s="42"/>
      <c r="N948" s="43">
        <v>1489000</v>
      </c>
      <c r="O948" s="42"/>
      <c r="P948" s="43">
        <v>3626000</v>
      </c>
      <c r="Q948" s="42"/>
      <c r="R948" s="43">
        <v>1222000</v>
      </c>
    </row>
    <row r="949" spans="1:18" x14ac:dyDescent="0.2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</row>
    <row r="950" spans="1:18" x14ac:dyDescent="0.2">
      <c r="A950" s="42"/>
      <c r="B950" s="42"/>
      <c r="C950" s="42" t="s">
        <v>467</v>
      </c>
      <c r="D950" s="42"/>
      <c r="E950" s="42"/>
      <c r="F950" s="43">
        <v>450000</v>
      </c>
      <c r="G950" s="42"/>
      <c r="H950" s="43">
        <v>387000</v>
      </c>
      <c r="I950" s="42"/>
      <c r="J950" s="43">
        <v>63000</v>
      </c>
      <c r="K950" s="42"/>
      <c r="L950" s="43">
        <v>0</v>
      </c>
      <c r="M950" s="42"/>
      <c r="N950" s="43">
        <v>453000</v>
      </c>
      <c r="O950" s="42"/>
      <c r="P950" s="43">
        <v>978000</v>
      </c>
      <c r="Q950" s="42"/>
      <c r="R950" s="43">
        <v>981000</v>
      </c>
    </row>
    <row r="951" spans="1:18" x14ac:dyDescent="0.2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</row>
    <row r="952" spans="1:18" x14ac:dyDescent="0.2">
      <c r="A952" s="42"/>
      <c r="B952" s="42"/>
      <c r="C952" s="42" t="s">
        <v>468</v>
      </c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</row>
    <row r="953" spans="1:18" x14ac:dyDescent="0.2">
      <c r="A953" s="42"/>
      <c r="B953" s="42"/>
      <c r="C953" s="42"/>
      <c r="D953" s="42"/>
      <c r="E953" s="42" t="s">
        <v>469</v>
      </c>
      <c r="F953" s="45">
        <v>2821000</v>
      </c>
      <c r="G953" s="42"/>
      <c r="H953" s="45">
        <v>80000</v>
      </c>
      <c r="I953" s="42"/>
      <c r="J953" s="45">
        <v>2741000</v>
      </c>
      <c r="K953" s="42"/>
      <c r="L953" s="45">
        <v>0</v>
      </c>
      <c r="M953" s="42"/>
      <c r="N953" s="45">
        <v>1584000</v>
      </c>
      <c r="O953" s="42"/>
      <c r="P953" s="45">
        <v>1237000</v>
      </c>
      <c r="Q953" s="42"/>
      <c r="R953" s="45">
        <v>0</v>
      </c>
    </row>
    <row r="954" spans="1:18" x14ac:dyDescent="0.2">
      <c r="A954" s="42"/>
      <c r="B954" s="42"/>
      <c r="C954" s="42"/>
      <c r="D954" s="42"/>
      <c r="E954" s="42" t="s">
        <v>470</v>
      </c>
      <c r="F954" s="45">
        <v>803000</v>
      </c>
      <c r="G954" s="42"/>
      <c r="H954" s="45">
        <v>268000</v>
      </c>
      <c r="I954" s="42"/>
      <c r="J954" s="45">
        <v>535000</v>
      </c>
      <c r="K954" s="42"/>
      <c r="L954" s="45">
        <v>0</v>
      </c>
      <c r="M954" s="42"/>
      <c r="N954" s="45">
        <v>529000</v>
      </c>
      <c r="O954" s="42"/>
      <c r="P954" s="45">
        <v>274000</v>
      </c>
      <c r="Q954" s="42"/>
      <c r="R954" s="45">
        <v>0</v>
      </c>
    </row>
    <row r="955" spans="1:18" x14ac:dyDescent="0.2">
      <c r="A955" s="42"/>
      <c r="B955" s="42"/>
      <c r="C955" s="42"/>
      <c r="D955" s="42"/>
      <c r="E955" s="42" t="s">
        <v>471</v>
      </c>
      <c r="F955" s="45">
        <v>725000</v>
      </c>
      <c r="G955" s="42"/>
      <c r="H955" s="45">
        <v>487000</v>
      </c>
      <c r="I955" s="42"/>
      <c r="J955" s="45">
        <v>238000</v>
      </c>
      <c r="K955" s="42"/>
      <c r="L955" s="45">
        <v>0</v>
      </c>
      <c r="M955" s="42"/>
      <c r="N955" s="45">
        <v>689000</v>
      </c>
      <c r="O955" s="42"/>
      <c r="P955" s="45">
        <v>1857000</v>
      </c>
      <c r="Q955" s="42"/>
      <c r="R955" s="45">
        <v>1821000</v>
      </c>
    </row>
    <row r="956" spans="1:18" x14ac:dyDescent="0.2">
      <c r="A956" s="42"/>
      <c r="B956" s="42"/>
      <c r="C956" s="42"/>
      <c r="D956" s="42"/>
      <c r="E956" s="42" t="s">
        <v>472</v>
      </c>
      <c r="F956" s="43">
        <v>1168000</v>
      </c>
      <c r="G956" s="42"/>
      <c r="H956" s="43">
        <v>100000</v>
      </c>
      <c r="I956" s="42"/>
      <c r="J956" s="43">
        <v>1068000</v>
      </c>
      <c r="K956" s="42"/>
      <c r="L956" s="43">
        <v>0</v>
      </c>
      <c r="M956" s="42"/>
      <c r="N956" s="43">
        <v>712000</v>
      </c>
      <c r="O956" s="42"/>
      <c r="P956" s="43">
        <v>456000</v>
      </c>
      <c r="Q956" s="42"/>
      <c r="R956" s="43">
        <v>0</v>
      </c>
    </row>
    <row r="957" spans="1:18" x14ac:dyDescent="0.2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</row>
    <row r="958" spans="1:18" x14ac:dyDescent="0.2">
      <c r="A958" s="42"/>
      <c r="B958" s="42"/>
      <c r="C958" s="42"/>
      <c r="D958" s="42"/>
      <c r="E958" s="42" t="s">
        <v>3</v>
      </c>
      <c r="F958" s="43">
        <v>5517000</v>
      </c>
      <c r="G958" s="42"/>
      <c r="H958" s="43">
        <v>935000</v>
      </c>
      <c r="I958" s="42"/>
      <c r="J958" s="43">
        <v>4582000</v>
      </c>
      <c r="K958" s="42"/>
      <c r="L958" s="43">
        <v>0</v>
      </c>
      <c r="M958" s="42"/>
      <c r="N958" s="43">
        <v>3514000</v>
      </c>
      <c r="O958" s="42"/>
      <c r="P958" s="43">
        <v>3824000</v>
      </c>
      <c r="Q958" s="42"/>
      <c r="R958" s="43">
        <v>1821000</v>
      </c>
    </row>
    <row r="959" spans="1:18" x14ac:dyDescent="0.2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</row>
    <row r="960" spans="1:18" x14ac:dyDescent="0.2">
      <c r="A960" s="42"/>
      <c r="B960" s="42"/>
      <c r="C960" s="42" t="s">
        <v>473</v>
      </c>
      <c r="D960" s="42"/>
      <c r="E960" s="42"/>
      <c r="F960" s="43">
        <v>14818000</v>
      </c>
      <c r="G960" s="42"/>
      <c r="H960" s="43">
        <v>11479000</v>
      </c>
      <c r="I960" s="42"/>
      <c r="J960" s="43">
        <v>3335000</v>
      </c>
      <c r="K960" s="42"/>
      <c r="L960" s="43">
        <v>4000</v>
      </c>
      <c r="M960" s="42"/>
      <c r="N960" s="43">
        <v>12019000</v>
      </c>
      <c r="O960" s="42"/>
      <c r="P960" s="43">
        <v>9873000</v>
      </c>
      <c r="Q960" s="42"/>
      <c r="R960" s="43">
        <v>7074000</v>
      </c>
    </row>
    <row r="961" spans="1:18" x14ac:dyDescent="0.2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</row>
    <row r="962" spans="1:18" x14ac:dyDescent="0.2">
      <c r="A962" s="42"/>
      <c r="B962" s="42"/>
      <c r="C962" s="42" t="s">
        <v>474</v>
      </c>
      <c r="D962" s="42"/>
      <c r="E962" s="42"/>
      <c r="F962" s="43">
        <v>-127000</v>
      </c>
      <c r="G962" s="42"/>
      <c r="H962" s="43">
        <v>0</v>
      </c>
      <c r="I962" s="42"/>
      <c r="J962" s="43">
        <v>-127000</v>
      </c>
      <c r="K962" s="42"/>
      <c r="L962" s="43">
        <v>0</v>
      </c>
      <c r="M962" s="42"/>
      <c r="N962" s="43">
        <v>1573000</v>
      </c>
      <c r="O962" s="42"/>
      <c r="P962" s="43">
        <v>6325000</v>
      </c>
      <c r="Q962" s="42"/>
      <c r="R962" s="43">
        <v>8025000</v>
      </c>
    </row>
    <row r="963" spans="1:18" x14ac:dyDescent="0.2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</row>
    <row r="964" spans="1:18" x14ac:dyDescent="0.2">
      <c r="A964" s="42"/>
      <c r="B964" s="42"/>
      <c r="C964" s="42" t="s">
        <v>475</v>
      </c>
      <c r="D964" s="42"/>
      <c r="E964" s="42"/>
      <c r="F964" s="43">
        <v>43839000</v>
      </c>
      <c r="G964" s="42"/>
      <c r="H964" s="43">
        <v>3000</v>
      </c>
      <c r="I964" s="42"/>
      <c r="J964" s="43">
        <v>43476000</v>
      </c>
      <c r="K964" s="42"/>
      <c r="L964" s="43">
        <v>360000</v>
      </c>
      <c r="M964" s="42"/>
      <c r="N964" s="43">
        <v>23970000</v>
      </c>
      <c r="O964" s="42"/>
      <c r="P964" s="43">
        <v>19869000</v>
      </c>
      <c r="Q964" s="42"/>
      <c r="R964" s="43">
        <v>0</v>
      </c>
    </row>
    <row r="965" spans="1:18" x14ac:dyDescent="0.2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</row>
    <row r="966" spans="1:18" x14ac:dyDescent="0.2">
      <c r="A966" s="42"/>
      <c r="B966" s="42"/>
      <c r="C966" s="42" t="s">
        <v>476</v>
      </c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</row>
    <row r="967" spans="1:18" x14ac:dyDescent="0.2">
      <c r="A967" s="42"/>
      <c r="B967" s="42"/>
      <c r="C967" s="42"/>
      <c r="D967" s="42"/>
      <c r="E967" s="42" t="s">
        <v>477</v>
      </c>
      <c r="F967" s="45">
        <v>2313000</v>
      </c>
      <c r="G967" s="42"/>
      <c r="H967" s="45">
        <v>1081000</v>
      </c>
      <c r="I967" s="42"/>
      <c r="J967" s="45">
        <v>1232000</v>
      </c>
      <c r="K967" s="42"/>
      <c r="L967" s="45">
        <v>0</v>
      </c>
      <c r="M967" s="42"/>
      <c r="N967" s="45">
        <v>1142000</v>
      </c>
      <c r="O967" s="42"/>
      <c r="P967" s="45">
        <v>1171000</v>
      </c>
      <c r="Q967" s="42"/>
      <c r="R967" s="45">
        <v>0</v>
      </c>
    </row>
    <row r="968" spans="1:18" x14ac:dyDescent="0.2">
      <c r="A968" s="42"/>
      <c r="B968" s="42"/>
      <c r="C968" s="42"/>
      <c r="D968" s="42"/>
      <c r="E968" s="42" t="s">
        <v>478</v>
      </c>
      <c r="F968" s="45">
        <v>1295000</v>
      </c>
      <c r="G968" s="42"/>
      <c r="H968" s="45">
        <v>-8000</v>
      </c>
      <c r="I968" s="42"/>
      <c r="J968" s="45">
        <v>1303000</v>
      </c>
      <c r="K968" s="42"/>
      <c r="L968" s="45">
        <v>0</v>
      </c>
      <c r="M968" s="42"/>
      <c r="N968" s="45">
        <v>856000</v>
      </c>
      <c r="O968" s="42"/>
      <c r="P968" s="45">
        <v>439000</v>
      </c>
      <c r="Q968" s="42"/>
      <c r="R968" s="45">
        <v>0</v>
      </c>
    </row>
    <row r="969" spans="1:18" x14ac:dyDescent="0.2">
      <c r="A969" s="42"/>
      <c r="B969" s="42"/>
      <c r="C969" s="42"/>
      <c r="D969" s="42"/>
      <c r="E969" s="42" t="s">
        <v>479</v>
      </c>
      <c r="F969" s="45">
        <v>2642000</v>
      </c>
      <c r="G969" s="42"/>
      <c r="H969" s="45">
        <v>-23000</v>
      </c>
      <c r="I969" s="42"/>
      <c r="J969" s="45">
        <v>2203000</v>
      </c>
      <c r="K969" s="42"/>
      <c r="L969" s="45">
        <v>462000</v>
      </c>
      <c r="M969" s="42"/>
      <c r="N969" s="45">
        <v>1207000</v>
      </c>
      <c r="O969" s="42"/>
      <c r="P969" s="45">
        <v>1435000</v>
      </c>
      <c r="Q969" s="42"/>
      <c r="R969" s="45">
        <v>0</v>
      </c>
    </row>
    <row r="970" spans="1:18" x14ac:dyDescent="0.2">
      <c r="A970" s="42"/>
      <c r="B970" s="42"/>
      <c r="C970" s="42"/>
      <c r="D970" s="42"/>
      <c r="E970" s="42" t="s">
        <v>480</v>
      </c>
      <c r="F970" s="43">
        <v>1463000</v>
      </c>
      <c r="G970" s="42"/>
      <c r="H970" s="43">
        <v>-9000</v>
      </c>
      <c r="I970" s="42"/>
      <c r="J970" s="43">
        <v>1471000</v>
      </c>
      <c r="K970" s="42"/>
      <c r="L970" s="43">
        <v>1000</v>
      </c>
      <c r="M970" s="42"/>
      <c r="N970" s="43">
        <v>965000</v>
      </c>
      <c r="O970" s="42"/>
      <c r="P970" s="43">
        <v>498000</v>
      </c>
      <c r="Q970" s="42"/>
      <c r="R970" s="43">
        <v>0</v>
      </c>
    </row>
    <row r="971" spans="1:18" x14ac:dyDescent="0.2">
      <c r="A971" s="42"/>
      <c r="B971" s="42"/>
      <c r="C971" s="42"/>
      <c r="D971" s="42"/>
      <c r="E971" s="42" t="s">
        <v>272</v>
      </c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</row>
    <row r="972" spans="1:18" x14ac:dyDescent="0.2">
      <c r="A972" s="42"/>
      <c r="B972" s="42"/>
      <c r="C972" s="42"/>
      <c r="D972" s="42"/>
      <c r="E972" s="42" t="s">
        <v>3</v>
      </c>
      <c r="F972" s="43">
        <v>7713000</v>
      </c>
      <c r="G972" s="42"/>
      <c r="H972" s="43">
        <v>1041000</v>
      </c>
      <c r="I972" s="42"/>
      <c r="J972" s="43">
        <v>6209000</v>
      </c>
      <c r="K972" s="42"/>
      <c r="L972" s="43">
        <v>463000</v>
      </c>
      <c r="M972" s="42"/>
      <c r="N972" s="43">
        <v>4170000</v>
      </c>
      <c r="O972" s="42"/>
      <c r="P972" s="43">
        <v>3543000</v>
      </c>
      <c r="Q972" s="42"/>
      <c r="R972" s="43">
        <v>0</v>
      </c>
    </row>
    <row r="973" spans="1:18" x14ac:dyDescent="0.2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</row>
    <row r="974" spans="1:18" x14ac:dyDescent="0.2">
      <c r="A974" s="42"/>
      <c r="B974" s="42" t="s">
        <v>399</v>
      </c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</row>
    <row r="975" spans="1:18" x14ac:dyDescent="0.2">
      <c r="A975" s="42"/>
      <c r="B975" s="42"/>
      <c r="C975" s="42" t="s">
        <v>400</v>
      </c>
      <c r="D975" s="42"/>
      <c r="E975" s="42"/>
      <c r="F975" s="43">
        <v>1436000</v>
      </c>
      <c r="G975" s="42"/>
      <c r="H975" s="43">
        <v>54000</v>
      </c>
      <c r="I975" s="42"/>
      <c r="J975" s="43">
        <v>1378000</v>
      </c>
      <c r="K975" s="42"/>
      <c r="L975" s="43">
        <v>4000</v>
      </c>
      <c r="M975" s="42"/>
      <c r="N975" s="43">
        <v>1361000</v>
      </c>
      <c r="O975" s="42"/>
      <c r="P975" s="43">
        <v>75000</v>
      </c>
      <c r="Q975" s="42"/>
      <c r="R975" s="43">
        <v>0</v>
      </c>
    </row>
    <row r="976" spans="1:18" x14ac:dyDescent="0.2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</row>
    <row r="977" spans="1:32" x14ac:dyDescent="0.2">
      <c r="A977" s="42"/>
      <c r="B977" s="42"/>
      <c r="C977" s="42"/>
      <c r="D977" s="42"/>
      <c r="E977" s="42" t="s">
        <v>481</v>
      </c>
      <c r="F977" s="43">
        <v>253319000</v>
      </c>
      <c r="G977" s="42"/>
      <c r="H977" s="43">
        <v>108881000</v>
      </c>
      <c r="I977" s="42"/>
      <c r="J977" s="43">
        <v>128610000</v>
      </c>
      <c r="K977" s="42"/>
      <c r="L977" s="43">
        <v>15828000</v>
      </c>
      <c r="M977" s="42"/>
      <c r="N977" s="43">
        <v>170898000</v>
      </c>
      <c r="O977" s="42"/>
      <c r="P977" s="43">
        <v>112218000</v>
      </c>
      <c r="Q977" s="42"/>
      <c r="R977" s="43">
        <v>29797000</v>
      </c>
    </row>
    <row r="978" spans="1:32" x14ac:dyDescent="0.2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</row>
    <row r="979" spans="1:32" x14ac:dyDescent="0.2">
      <c r="A979" s="44" t="s">
        <v>482</v>
      </c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</row>
    <row r="980" spans="1:32" x14ac:dyDescent="0.2">
      <c r="A980" s="42"/>
      <c r="B980" s="44" t="s">
        <v>483</v>
      </c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</row>
    <row r="981" spans="1:32" x14ac:dyDescent="0.2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</row>
    <row r="982" spans="1:32" x14ac:dyDescent="0.2">
      <c r="A982" s="42"/>
      <c r="B982" s="42"/>
      <c r="C982" s="42" t="s">
        <v>484</v>
      </c>
      <c r="D982" s="42"/>
      <c r="E982" s="42"/>
      <c r="F982" s="45">
        <v>5448000</v>
      </c>
      <c r="G982" s="42"/>
      <c r="H982" s="45">
        <v>3234000</v>
      </c>
      <c r="I982" s="42"/>
      <c r="J982" s="45">
        <v>2211000</v>
      </c>
      <c r="K982" s="42"/>
      <c r="L982" s="45">
        <v>3000</v>
      </c>
      <c r="M982" s="42"/>
      <c r="N982" s="45">
        <v>8122000</v>
      </c>
      <c r="O982" s="42"/>
      <c r="P982" s="45">
        <v>6928000</v>
      </c>
      <c r="Q982" s="42"/>
      <c r="R982" s="45">
        <v>9602000</v>
      </c>
    </row>
    <row r="983" spans="1:32" x14ac:dyDescent="0.2">
      <c r="A983" s="42"/>
      <c r="B983" s="42"/>
      <c r="C983" s="42"/>
      <c r="D983" s="42"/>
      <c r="E983" s="42" t="s">
        <v>485</v>
      </c>
      <c r="F983" s="45">
        <v>419000</v>
      </c>
      <c r="G983" s="42"/>
      <c r="H983" s="45">
        <v>41000</v>
      </c>
      <c r="I983" s="42"/>
      <c r="J983" s="45">
        <v>378000</v>
      </c>
      <c r="K983" s="42"/>
      <c r="L983" s="45">
        <v>0</v>
      </c>
      <c r="M983" s="42"/>
      <c r="N983" s="45">
        <v>147000</v>
      </c>
      <c r="O983" s="42"/>
      <c r="P983" s="45">
        <v>272000</v>
      </c>
      <c r="Q983" s="42"/>
      <c r="R983" s="45">
        <v>0</v>
      </c>
      <c r="T983" s="42"/>
      <c r="U983" s="42"/>
      <c r="V983" s="42"/>
      <c r="W983" s="42"/>
      <c r="X983" s="42"/>
      <c r="Y983" s="42"/>
      <c r="Z983" s="42"/>
      <c r="AA983" s="42"/>
      <c r="AB983" s="42"/>
      <c r="AC983" s="42"/>
      <c r="AD983" s="42"/>
      <c r="AE983" s="42"/>
      <c r="AF983" s="42"/>
    </row>
    <row r="984" spans="1:32" x14ac:dyDescent="0.2">
      <c r="A984" s="42"/>
      <c r="B984" s="42"/>
      <c r="C984" s="42"/>
      <c r="D984" s="42"/>
      <c r="E984" s="42" t="s">
        <v>486</v>
      </c>
      <c r="F984" s="45">
        <v>15634000</v>
      </c>
      <c r="G984" s="42"/>
      <c r="H984" s="45">
        <v>13798000</v>
      </c>
      <c r="I984" s="42"/>
      <c r="J984" s="45">
        <v>1836000</v>
      </c>
      <c r="K984" s="42"/>
      <c r="L984" s="45">
        <v>0</v>
      </c>
      <c r="M984" s="42"/>
      <c r="N984" s="45">
        <v>9818000</v>
      </c>
      <c r="O984" s="42"/>
      <c r="P984" s="45">
        <v>9070000</v>
      </c>
      <c r="Q984" s="42"/>
      <c r="R984" s="45">
        <v>3254000</v>
      </c>
      <c r="T984" s="42"/>
      <c r="U984" s="42"/>
      <c r="V984" s="42"/>
      <c r="W984" s="42"/>
      <c r="X984" s="42"/>
      <c r="Y984" s="42"/>
      <c r="Z984" s="42"/>
      <c r="AA984" s="42"/>
      <c r="AB984" s="42"/>
      <c r="AC984" s="42"/>
      <c r="AD984" s="42"/>
      <c r="AE984" s="42"/>
      <c r="AF984" s="42"/>
    </row>
    <row r="985" spans="1:32" x14ac:dyDescent="0.2">
      <c r="A985" s="42"/>
      <c r="B985" s="42"/>
      <c r="C985" s="42"/>
      <c r="D985" s="42"/>
      <c r="E985" s="42" t="s">
        <v>487</v>
      </c>
      <c r="F985" s="45">
        <v>794000</v>
      </c>
      <c r="G985" s="42"/>
      <c r="H985" s="45">
        <v>672000</v>
      </c>
      <c r="I985" s="42"/>
      <c r="J985" s="45">
        <v>122000</v>
      </c>
      <c r="K985" s="42"/>
      <c r="L985" s="45">
        <v>0</v>
      </c>
      <c r="M985" s="42"/>
      <c r="N985" s="45">
        <v>313000</v>
      </c>
      <c r="O985" s="42"/>
      <c r="P985" s="45">
        <v>481000</v>
      </c>
      <c r="Q985" s="42"/>
      <c r="R985" s="45">
        <v>0</v>
      </c>
      <c r="T985" s="42"/>
      <c r="U985" s="42"/>
      <c r="V985" s="42"/>
      <c r="W985" s="42"/>
      <c r="X985" s="42"/>
      <c r="Y985" s="42"/>
      <c r="Z985" s="42"/>
      <c r="AA985" s="42"/>
      <c r="AB985" s="42"/>
      <c r="AC985" s="42"/>
      <c r="AD985" s="42"/>
      <c r="AE985" s="42"/>
      <c r="AF985" s="42"/>
    </row>
    <row r="986" spans="1:32" x14ac:dyDescent="0.2">
      <c r="A986" s="42"/>
      <c r="B986" s="42"/>
      <c r="C986" s="42" t="s">
        <v>488</v>
      </c>
      <c r="D986" s="42"/>
      <c r="E986" s="42"/>
      <c r="F986" s="45">
        <v>2527000</v>
      </c>
      <c r="G986" s="42"/>
      <c r="H986" s="45">
        <v>2204000</v>
      </c>
      <c r="I986" s="42"/>
      <c r="J986" s="45">
        <v>315000</v>
      </c>
      <c r="K986" s="42"/>
      <c r="L986" s="45">
        <v>8000</v>
      </c>
      <c r="M986" s="42"/>
      <c r="N986" s="45">
        <v>1792000</v>
      </c>
      <c r="O986" s="42"/>
      <c r="P986" s="45">
        <v>1348000</v>
      </c>
      <c r="Q986" s="42"/>
      <c r="R986" s="45">
        <v>613000</v>
      </c>
      <c r="T986" s="42"/>
      <c r="U986" s="42"/>
      <c r="V986" s="42"/>
      <c r="W986" s="42"/>
      <c r="X986" s="42"/>
      <c r="Y986" s="42"/>
      <c r="Z986" s="42"/>
      <c r="AA986" s="42"/>
      <c r="AB986" s="42"/>
      <c r="AC986" s="42"/>
      <c r="AD986" s="42"/>
      <c r="AE986" s="42"/>
      <c r="AF986" s="42"/>
    </row>
    <row r="987" spans="1:32" x14ac:dyDescent="0.2">
      <c r="A987" s="42"/>
      <c r="B987" s="42"/>
      <c r="C987" s="42" t="s">
        <v>489</v>
      </c>
      <c r="D987" s="42"/>
      <c r="E987" s="42"/>
      <c r="F987" s="45">
        <v>16624000</v>
      </c>
      <c r="G987" s="42"/>
      <c r="H987" s="45">
        <v>11585000</v>
      </c>
      <c r="I987" s="42"/>
      <c r="J987" s="45">
        <v>5037000</v>
      </c>
      <c r="K987" s="42"/>
      <c r="L987" s="45">
        <v>2000</v>
      </c>
      <c r="M987" s="42"/>
      <c r="N987" s="45">
        <v>11813000</v>
      </c>
      <c r="O987" s="42"/>
      <c r="P987" s="45">
        <v>8542000</v>
      </c>
      <c r="Q987" s="42"/>
      <c r="R987" s="45">
        <v>3731000</v>
      </c>
      <c r="T987" s="42"/>
      <c r="U987" s="42"/>
      <c r="V987" s="42"/>
      <c r="W987" s="42"/>
      <c r="X987" s="42"/>
      <c r="Y987" s="42"/>
      <c r="Z987" s="42"/>
      <c r="AA987" s="42"/>
      <c r="AB987" s="42"/>
      <c r="AC987" s="42"/>
      <c r="AD987" s="42"/>
      <c r="AE987" s="42"/>
      <c r="AF987" s="42"/>
    </row>
    <row r="988" spans="1:32" x14ac:dyDescent="0.2">
      <c r="A988" s="42"/>
      <c r="B988" s="42"/>
      <c r="C988" s="42" t="s">
        <v>234</v>
      </c>
      <c r="D988" s="42"/>
      <c r="E988" s="42"/>
      <c r="F988" s="45">
        <v>5105000</v>
      </c>
      <c r="G988" s="42"/>
      <c r="H988" s="45">
        <v>5507000</v>
      </c>
      <c r="I988" s="42"/>
      <c r="J988" s="45">
        <v>-405000</v>
      </c>
      <c r="K988" s="42"/>
      <c r="L988" s="45">
        <v>3000</v>
      </c>
      <c r="M988" s="42"/>
      <c r="N988" s="45">
        <v>-412000</v>
      </c>
      <c r="O988" s="42"/>
      <c r="P988" s="45">
        <v>5517000</v>
      </c>
      <c r="Q988" s="42"/>
      <c r="R988" s="45">
        <v>0</v>
      </c>
      <c r="T988" s="42"/>
      <c r="U988" s="42"/>
      <c r="V988" s="42"/>
      <c r="W988" s="42"/>
      <c r="X988" s="42"/>
      <c r="Y988" s="42"/>
      <c r="Z988" s="42"/>
      <c r="AA988" s="42"/>
      <c r="AB988" s="42"/>
      <c r="AC988" s="42"/>
      <c r="AD988" s="42"/>
      <c r="AE988" s="42"/>
      <c r="AF988" s="42"/>
    </row>
    <row r="989" spans="1:32" x14ac:dyDescent="0.2">
      <c r="A989" s="42"/>
      <c r="B989" s="42"/>
      <c r="C989" s="42" t="s">
        <v>490</v>
      </c>
      <c r="D989" s="42"/>
      <c r="E989" s="42"/>
      <c r="F989" s="45">
        <v>46000</v>
      </c>
      <c r="G989" s="42"/>
      <c r="H989" s="45">
        <v>0</v>
      </c>
      <c r="I989" s="42"/>
      <c r="J989" s="45">
        <v>46000</v>
      </c>
      <c r="K989" s="42"/>
      <c r="L989" s="45">
        <v>0</v>
      </c>
      <c r="M989" s="42"/>
      <c r="N989" s="45">
        <v>107000</v>
      </c>
      <c r="O989" s="42"/>
      <c r="P989" s="45">
        <v>71000</v>
      </c>
      <c r="Q989" s="42"/>
      <c r="R989" s="45">
        <v>132000</v>
      </c>
      <c r="T989" s="42"/>
      <c r="U989" s="42"/>
      <c r="V989" s="42"/>
      <c r="W989" s="42"/>
      <c r="X989" s="42"/>
      <c r="Y989" s="42"/>
      <c r="Z989" s="42"/>
      <c r="AA989" s="42"/>
      <c r="AB989" s="42"/>
      <c r="AC989" s="42"/>
      <c r="AD989" s="42"/>
      <c r="AE989" s="42"/>
      <c r="AF989" s="42"/>
    </row>
    <row r="990" spans="1:32" x14ac:dyDescent="0.2">
      <c r="A990" s="42"/>
      <c r="B990" s="42"/>
      <c r="C990" s="42" t="s">
        <v>491</v>
      </c>
      <c r="D990" s="42"/>
      <c r="E990" s="42"/>
      <c r="F990" s="45">
        <v>5412000</v>
      </c>
      <c r="G990" s="42"/>
      <c r="H990" s="45">
        <v>846000</v>
      </c>
      <c r="I990" s="42"/>
      <c r="J990" s="45">
        <v>4562000</v>
      </c>
      <c r="K990" s="42"/>
      <c r="L990" s="45">
        <v>4000</v>
      </c>
      <c r="M990" s="42"/>
      <c r="N990" s="45">
        <v>3011000</v>
      </c>
      <c r="O990" s="42"/>
      <c r="P990" s="45">
        <v>3209000</v>
      </c>
      <c r="Q990" s="42"/>
      <c r="R990" s="45">
        <v>808000</v>
      </c>
      <c r="T990" s="42"/>
      <c r="U990" s="42"/>
      <c r="V990" s="42"/>
      <c r="W990" s="42"/>
      <c r="X990" s="42"/>
      <c r="Y990" s="42"/>
      <c r="Z990" s="42"/>
      <c r="AA990" s="42"/>
      <c r="AB990" s="42"/>
      <c r="AC990" s="42"/>
      <c r="AD990" s="42"/>
      <c r="AE990" s="42"/>
      <c r="AF990" s="42"/>
    </row>
    <row r="991" spans="1:32" x14ac:dyDescent="0.2">
      <c r="A991" s="42"/>
      <c r="B991" s="42"/>
      <c r="C991" s="42" t="s">
        <v>492</v>
      </c>
      <c r="D991" s="42"/>
      <c r="E991" s="42"/>
      <c r="F991" s="45">
        <v>34122000</v>
      </c>
      <c r="G991" s="42"/>
      <c r="H991" s="45">
        <v>33108000</v>
      </c>
      <c r="I991" s="42"/>
      <c r="J991" s="45">
        <v>1014000</v>
      </c>
      <c r="K991" s="42"/>
      <c r="L991" s="45">
        <v>0</v>
      </c>
      <c r="M991" s="42"/>
      <c r="N991" s="45">
        <v>2952000</v>
      </c>
      <c r="O991" s="42"/>
      <c r="P991" s="45">
        <v>31849000</v>
      </c>
      <c r="Q991" s="42"/>
      <c r="R991" s="45">
        <v>679000</v>
      </c>
      <c r="T991" s="42"/>
      <c r="U991" s="42"/>
      <c r="V991" s="42"/>
      <c r="W991" s="42"/>
      <c r="X991" s="42"/>
      <c r="Y991" s="42"/>
      <c r="Z991" s="42"/>
      <c r="AA991" s="42"/>
      <c r="AB991" s="42"/>
      <c r="AC991" s="42"/>
      <c r="AD991" s="42"/>
      <c r="AE991" s="42"/>
      <c r="AF991" s="42"/>
    </row>
    <row r="992" spans="1:32" x14ac:dyDescent="0.2">
      <c r="A992" s="42"/>
      <c r="B992" s="42"/>
      <c r="C992" s="42" t="s">
        <v>493</v>
      </c>
      <c r="D992" s="42"/>
      <c r="E992" s="42"/>
      <c r="F992" s="43">
        <v>357000</v>
      </c>
      <c r="G992" s="42"/>
      <c r="H992" s="43">
        <v>86000</v>
      </c>
      <c r="I992" s="42"/>
      <c r="J992" s="43">
        <v>271000</v>
      </c>
      <c r="K992" s="42"/>
      <c r="L992" s="43">
        <v>0</v>
      </c>
      <c r="M992" s="42"/>
      <c r="N992" s="43">
        <v>338000</v>
      </c>
      <c r="O992" s="42"/>
      <c r="P992" s="43">
        <v>19000</v>
      </c>
      <c r="Q992" s="42"/>
      <c r="R992" s="43">
        <v>0</v>
      </c>
      <c r="T992" s="42"/>
      <c r="U992" s="42"/>
      <c r="V992" s="42"/>
      <c r="W992" s="42"/>
      <c r="X992" s="42"/>
      <c r="Y992" s="42"/>
      <c r="Z992" s="42"/>
      <c r="AA992" s="42"/>
      <c r="AB992" s="42"/>
      <c r="AC992" s="42"/>
      <c r="AD992" s="42"/>
      <c r="AE992" s="42"/>
      <c r="AF992" s="42"/>
    </row>
    <row r="993" spans="1:18" x14ac:dyDescent="0.2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</row>
    <row r="994" spans="1:18" x14ac:dyDescent="0.2">
      <c r="A994" s="42"/>
      <c r="B994" s="42"/>
      <c r="C994" s="42"/>
      <c r="D994" s="42"/>
      <c r="E994" s="42" t="s">
        <v>494</v>
      </c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</row>
    <row r="995" spans="1:18" x14ac:dyDescent="0.2">
      <c r="A995" s="42"/>
      <c r="B995" s="42"/>
      <c r="C995" s="42"/>
      <c r="D995" s="42"/>
      <c r="E995" s="42" t="s">
        <v>495</v>
      </c>
      <c r="F995" s="43">
        <v>86488000</v>
      </c>
      <c r="G995" s="42"/>
      <c r="H995" s="43">
        <v>71081000</v>
      </c>
      <c r="I995" s="42"/>
      <c r="J995" s="43">
        <v>15387000</v>
      </c>
      <c r="K995" s="42"/>
      <c r="L995" s="43">
        <v>20000</v>
      </c>
      <c r="M995" s="42"/>
      <c r="N995" s="43">
        <v>38001000</v>
      </c>
      <c r="O995" s="42"/>
      <c r="P995" s="43">
        <v>67306000</v>
      </c>
      <c r="Q995" s="42"/>
      <c r="R995" s="43">
        <v>18819000</v>
      </c>
    </row>
    <row r="996" spans="1:18" x14ac:dyDescent="0.2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</row>
    <row r="997" spans="1:18" x14ac:dyDescent="0.2">
      <c r="A997" s="44" t="s">
        <v>496</v>
      </c>
      <c r="B997" s="42"/>
      <c r="C997" s="42"/>
      <c r="D997" s="42"/>
      <c r="E997" s="42"/>
      <c r="F997" s="43">
        <v>358318000</v>
      </c>
      <c r="G997" s="42"/>
      <c r="H997" s="43">
        <v>141487000</v>
      </c>
      <c r="I997" s="42"/>
      <c r="J997" s="43">
        <v>69743000</v>
      </c>
      <c r="K997" s="42"/>
      <c r="L997" s="43">
        <v>147088000</v>
      </c>
      <c r="M997" s="42"/>
      <c r="N997" s="43">
        <v>0</v>
      </c>
      <c r="O997" s="42"/>
      <c r="P997" s="43">
        <v>358318000</v>
      </c>
      <c r="Q997" s="42"/>
      <c r="R997" s="43">
        <v>0</v>
      </c>
    </row>
    <row r="998" spans="1:18" x14ac:dyDescent="0.2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</row>
    <row r="999" spans="1:18" x14ac:dyDescent="0.2">
      <c r="A999" s="42"/>
      <c r="B999" s="42"/>
      <c r="C999" s="42" t="s">
        <v>497</v>
      </c>
      <c r="D999" s="42"/>
      <c r="E999" s="42"/>
      <c r="F999" s="43">
        <v>-222735000</v>
      </c>
      <c r="G999" s="42"/>
      <c r="H999" s="43">
        <v>0</v>
      </c>
      <c r="I999" s="42"/>
      <c r="J999" s="43">
        <v>-222735000</v>
      </c>
      <c r="K999" s="42"/>
      <c r="L999" s="43">
        <v>0</v>
      </c>
      <c r="M999" s="42"/>
      <c r="N999" s="43">
        <v>0</v>
      </c>
      <c r="O999" s="42"/>
      <c r="P999" s="43">
        <v>-222735000</v>
      </c>
      <c r="Q999" s="42"/>
      <c r="R999" s="43">
        <v>0</v>
      </c>
    </row>
    <row r="1000" spans="1:18" x14ac:dyDescent="0.2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</row>
    <row r="1001" spans="1:18" x14ac:dyDescent="0.2">
      <c r="A1001" s="42"/>
      <c r="B1001" s="42"/>
      <c r="C1001" s="42"/>
      <c r="D1001" s="42"/>
      <c r="E1001" s="42" t="s">
        <v>498</v>
      </c>
      <c r="F1001" s="43">
        <v>135583000</v>
      </c>
      <c r="G1001" s="42"/>
      <c r="H1001" s="43">
        <v>141487000</v>
      </c>
      <c r="I1001" s="42"/>
      <c r="J1001" s="43">
        <v>-152992000</v>
      </c>
      <c r="K1001" s="42"/>
      <c r="L1001" s="43">
        <v>147088000</v>
      </c>
      <c r="M1001" s="42"/>
      <c r="N1001" s="43">
        <v>0</v>
      </c>
      <c r="O1001" s="42"/>
      <c r="P1001" s="43">
        <v>135583000</v>
      </c>
      <c r="Q1001" s="42"/>
      <c r="R1001" s="43">
        <v>0</v>
      </c>
    </row>
    <row r="1002" spans="1:18" x14ac:dyDescent="0.2">
      <c r="A1002" s="42"/>
      <c r="B1002" s="42"/>
      <c r="C1002" s="42"/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42"/>
      <c r="R1002" s="42"/>
    </row>
    <row r="1003" spans="1:18" x14ac:dyDescent="0.2">
      <c r="A1003" s="44" t="s">
        <v>499</v>
      </c>
      <c r="B1003" s="42"/>
      <c r="C1003" s="42"/>
      <c r="D1003" s="42"/>
      <c r="E1003" s="42"/>
      <c r="F1003" s="42"/>
      <c r="G1003" s="42"/>
      <c r="H1003" s="42"/>
      <c r="I1003" s="42"/>
      <c r="J1003" s="42"/>
      <c r="K1003" s="42"/>
      <c r="L1003" s="42"/>
      <c r="M1003" s="42"/>
      <c r="N1003" s="42"/>
      <c r="O1003" s="42"/>
      <c r="P1003" s="42"/>
      <c r="Q1003" s="42"/>
      <c r="R1003" s="42"/>
    </row>
    <row r="1004" spans="1:18" x14ac:dyDescent="0.2">
      <c r="A1004" s="42"/>
      <c r="B1004" s="42"/>
      <c r="C1004" s="42"/>
      <c r="D1004" s="42"/>
      <c r="E1004" s="42"/>
      <c r="F1004" s="42"/>
      <c r="G1004" s="42"/>
      <c r="H1004" s="42"/>
      <c r="I1004" s="42"/>
      <c r="J1004" s="42"/>
      <c r="K1004" s="42"/>
      <c r="L1004" s="42"/>
      <c r="M1004" s="42"/>
      <c r="N1004" s="42"/>
      <c r="O1004" s="42"/>
      <c r="P1004" s="42"/>
      <c r="Q1004" s="42"/>
      <c r="R1004" s="42"/>
    </row>
    <row r="1005" spans="1:18" x14ac:dyDescent="0.2">
      <c r="A1005" s="42"/>
      <c r="B1005" s="42"/>
      <c r="C1005" s="42" t="s">
        <v>500</v>
      </c>
      <c r="D1005" s="42"/>
      <c r="E1005" s="42"/>
      <c r="F1005" s="43">
        <v>11868000</v>
      </c>
      <c r="G1005" s="42"/>
      <c r="H1005" s="43">
        <v>0</v>
      </c>
      <c r="I1005" s="42"/>
      <c r="J1005" s="43">
        <v>11844000</v>
      </c>
      <c r="K1005" s="42"/>
      <c r="L1005" s="43">
        <v>24000</v>
      </c>
      <c r="M1005" s="42"/>
      <c r="N1005" s="43">
        <v>2506000</v>
      </c>
      <c r="O1005" s="42"/>
      <c r="P1005" s="43">
        <v>9362000</v>
      </c>
      <c r="Q1005" s="42"/>
      <c r="R1005" s="43">
        <v>0</v>
      </c>
    </row>
    <row r="1006" spans="1:18" x14ac:dyDescent="0.2">
      <c r="A1006" s="42"/>
      <c r="B1006" s="42"/>
      <c r="C1006" s="42"/>
      <c r="D1006" s="42"/>
      <c r="E1006" s="42"/>
      <c r="F1006" s="42"/>
      <c r="G1006" s="42"/>
      <c r="H1006" s="42"/>
      <c r="I1006" s="42"/>
      <c r="J1006" s="42"/>
      <c r="K1006" s="42"/>
      <c r="L1006" s="42"/>
      <c r="M1006" s="42"/>
      <c r="N1006" s="42"/>
      <c r="O1006" s="42"/>
      <c r="P1006" s="42"/>
      <c r="Q1006" s="42"/>
      <c r="R1006" s="42"/>
    </row>
    <row r="1007" spans="1:18" x14ac:dyDescent="0.2">
      <c r="A1007" s="42"/>
      <c r="B1007" s="42"/>
      <c r="C1007" s="42" t="s">
        <v>501</v>
      </c>
      <c r="D1007" s="42"/>
      <c r="E1007" s="42"/>
      <c r="F1007" s="43">
        <v>10567000</v>
      </c>
      <c r="G1007" s="42"/>
      <c r="H1007" s="43">
        <v>0</v>
      </c>
      <c r="I1007" s="42"/>
      <c r="J1007" s="43">
        <v>10534000</v>
      </c>
      <c r="K1007" s="42"/>
      <c r="L1007" s="43">
        <v>33000</v>
      </c>
      <c r="M1007" s="42"/>
      <c r="N1007" s="43">
        <v>4377000</v>
      </c>
      <c r="O1007" s="42"/>
      <c r="P1007" s="43">
        <v>9909000</v>
      </c>
      <c r="Q1007" s="42"/>
      <c r="R1007" s="43">
        <v>3719000</v>
      </c>
    </row>
    <row r="1008" spans="1:18" x14ac:dyDescent="0.2">
      <c r="A1008" s="42"/>
      <c r="B1008" s="42"/>
      <c r="C1008" s="42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42"/>
      <c r="R1008" s="42"/>
    </row>
    <row r="1009" spans="1:18" x14ac:dyDescent="0.2">
      <c r="A1009" s="42"/>
      <c r="B1009" s="42"/>
      <c r="C1009" s="42" t="s">
        <v>502</v>
      </c>
      <c r="D1009" s="42"/>
      <c r="E1009" s="42"/>
      <c r="F1009" s="43">
        <v>69364000</v>
      </c>
      <c r="G1009" s="42"/>
      <c r="H1009" s="43">
        <v>0</v>
      </c>
      <c r="I1009" s="42"/>
      <c r="J1009" s="43">
        <v>69013000</v>
      </c>
      <c r="K1009" s="42"/>
      <c r="L1009" s="43">
        <v>351000</v>
      </c>
      <c r="M1009" s="42"/>
      <c r="N1009" s="43">
        <v>29252000</v>
      </c>
      <c r="O1009" s="42"/>
      <c r="P1009" s="43">
        <v>44053000</v>
      </c>
      <c r="Q1009" s="42"/>
      <c r="R1009" s="43">
        <v>3941000</v>
      </c>
    </row>
    <row r="1010" spans="1:18" x14ac:dyDescent="0.2">
      <c r="A1010" s="42"/>
      <c r="B1010" s="42"/>
      <c r="C1010" s="42"/>
      <c r="D1010" s="42"/>
      <c r="E1010" s="42" t="s">
        <v>22</v>
      </c>
      <c r="F1010" s="42"/>
      <c r="G1010" s="42"/>
      <c r="H1010" s="42"/>
      <c r="I1010" s="42"/>
      <c r="J1010" s="42"/>
      <c r="K1010" s="42"/>
      <c r="L1010" s="42"/>
      <c r="M1010" s="42"/>
      <c r="N1010" s="42"/>
      <c r="O1010" s="42"/>
      <c r="P1010" s="42"/>
      <c r="Q1010" s="42"/>
      <c r="R1010" s="42"/>
    </row>
    <row r="1011" spans="1:18" x14ac:dyDescent="0.2">
      <c r="A1011" s="42"/>
      <c r="B1011" s="42" t="s">
        <v>503</v>
      </c>
      <c r="C1011" s="42"/>
      <c r="D1011" s="42"/>
      <c r="E1011" s="42"/>
      <c r="F1011" s="43">
        <v>27678000</v>
      </c>
      <c r="G1011" s="42"/>
      <c r="H1011" s="43">
        <v>0</v>
      </c>
      <c r="I1011" s="42"/>
      <c r="J1011" s="43">
        <v>24316000</v>
      </c>
      <c r="K1011" s="42"/>
      <c r="L1011" s="43">
        <v>3362000</v>
      </c>
      <c r="M1011" s="42"/>
      <c r="N1011" s="43">
        <v>10274000</v>
      </c>
      <c r="O1011" s="42"/>
      <c r="P1011" s="43">
        <v>17428000</v>
      </c>
      <c r="Q1011" s="42"/>
      <c r="R1011" s="43">
        <v>24000</v>
      </c>
    </row>
    <row r="1012" spans="1:18" x14ac:dyDescent="0.2">
      <c r="A1012" s="42"/>
      <c r="B1012" s="42"/>
      <c r="C1012" s="42"/>
      <c r="D1012" s="42"/>
      <c r="E1012" s="42"/>
      <c r="F1012" s="42"/>
      <c r="G1012" s="42"/>
      <c r="H1012" s="42"/>
      <c r="I1012" s="42"/>
      <c r="J1012" s="42"/>
      <c r="K1012" s="42"/>
      <c r="L1012" s="42"/>
      <c r="M1012" s="42"/>
      <c r="N1012" s="42"/>
      <c r="O1012" s="42"/>
      <c r="P1012" s="42"/>
      <c r="Q1012" s="42"/>
      <c r="R1012" s="42"/>
    </row>
    <row r="1013" spans="1:18" x14ac:dyDescent="0.2">
      <c r="A1013" s="42"/>
      <c r="B1013" s="42" t="s">
        <v>504</v>
      </c>
      <c r="C1013" s="42"/>
      <c r="D1013" s="42"/>
      <c r="E1013" s="42"/>
      <c r="F1013" s="43">
        <v>4783000</v>
      </c>
      <c r="G1013" s="42"/>
      <c r="H1013" s="43">
        <v>0</v>
      </c>
      <c r="I1013" s="42"/>
      <c r="J1013" s="43">
        <v>4783000</v>
      </c>
      <c r="K1013" s="42"/>
      <c r="L1013" s="43">
        <v>0</v>
      </c>
      <c r="M1013" s="42"/>
      <c r="N1013" s="43">
        <v>2373000</v>
      </c>
      <c r="O1013" s="42"/>
      <c r="P1013" s="43">
        <v>4724000</v>
      </c>
      <c r="Q1013" s="42"/>
      <c r="R1013" s="43">
        <v>2314000</v>
      </c>
    </row>
    <row r="1014" spans="1:18" x14ac:dyDescent="0.2">
      <c r="A1014" s="42"/>
      <c r="B1014" s="42"/>
      <c r="C1014" s="42"/>
      <c r="D1014" s="42"/>
      <c r="E1014" s="42"/>
      <c r="F1014" s="42"/>
      <c r="G1014" s="42"/>
      <c r="H1014" s="42"/>
      <c r="I1014" s="42"/>
      <c r="J1014" s="42"/>
      <c r="K1014" s="42"/>
      <c r="L1014" s="42"/>
      <c r="M1014" s="42"/>
      <c r="N1014" s="42"/>
      <c r="O1014" s="42"/>
      <c r="P1014" s="42"/>
      <c r="Q1014" s="42"/>
      <c r="R1014" s="42"/>
    </row>
    <row r="1015" spans="1:18" x14ac:dyDescent="0.2">
      <c r="A1015" s="42"/>
      <c r="B1015" s="42" t="s">
        <v>456</v>
      </c>
      <c r="C1015" s="42"/>
      <c r="D1015" s="42"/>
      <c r="E1015" s="42"/>
      <c r="F1015" s="43">
        <v>24250000</v>
      </c>
      <c r="G1015" s="42"/>
      <c r="H1015" s="43">
        <v>2254000</v>
      </c>
      <c r="I1015" s="42"/>
      <c r="J1015" s="43">
        <v>21968000</v>
      </c>
      <c r="K1015" s="42"/>
      <c r="L1015" s="43">
        <v>28000</v>
      </c>
      <c r="M1015" s="42"/>
      <c r="N1015" s="43">
        <v>6497000</v>
      </c>
      <c r="O1015" s="42"/>
      <c r="P1015" s="43">
        <v>19165000</v>
      </c>
      <c r="Q1015" s="42"/>
      <c r="R1015" s="43">
        <v>1412000</v>
      </c>
    </row>
    <row r="1016" spans="1:18" x14ac:dyDescent="0.2">
      <c r="A1016" s="42"/>
      <c r="B1016" s="42"/>
      <c r="C1016" s="42"/>
      <c r="D1016" s="42"/>
      <c r="E1016" s="42"/>
      <c r="F1016" s="42"/>
      <c r="G1016" s="42"/>
      <c r="H1016" s="42"/>
      <c r="I1016" s="42"/>
      <c r="J1016" s="42"/>
      <c r="K1016" s="42"/>
      <c r="L1016" s="42"/>
      <c r="M1016" s="42"/>
      <c r="N1016" s="42"/>
      <c r="O1016" s="42"/>
      <c r="P1016" s="42"/>
      <c r="Q1016" s="42"/>
      <c r="R1016" s="42"/>
    </row>
    <row r="1017" spans="1:18" x14ac:dyDescent="0.2">
      <c r="A1017" s="42"/>
      <c r="B1017" s="42" t="s">
        <v>399</v>
      </c>
      <c r="C1017" s="42"/>
      <c r="D1017" s="42"/>
      <c r="E1017" s="42"/>
      <c r="F1017" s="42"/>
      <c r="G1017" s="42"/>
      <c r="H1017" s="42"/>
      <c r="I1017" s="42"/>
      <c r="J1017" s="42"/>
      <c r="K1017" s="42"/>
      <c r="L1017" s="42"/>
      <c r="M1017" s="42"/>
      <c r="N1017" s="42"/>
      <c r="O1017" s="42"/>
      <c r="P1017" s="42"/>
      <c r="Q1017" s="42"/>
      <c r="R1017" s="42"/>
    </row>
    <row r="1018" spans="1:18" x14ac:dyDescent="0.2">
      <c r="A1018" s="42"/>
      <c r="B1018" s="42"/>
      <c r="C1018" s="42" t="s">
        <v>400</v>
      </c>
      <c r="D1018" s="42"/>
      <c r="E1018" s="42"/>
      <c r="F1018" s="43">
        <v>134000</v>
      </c>
      <c r="G1018" s="42"/>
      <c r="H1018" s="43">
        <v>0</v>
      </c>
      <c r="I1018" s="42"/>
      <c r="J1018" s="43">
        <v>135000</v>
      </c>
      <c r="K1018" s="42"/>
      <c r="L1018" s="43">
        <v>-1000</v>
      </c>
      <c r="M1018" s="42"/>
      <c r="N1018" s="43">
        <v>128000</v>
      </c>
      <c r="O1018" s="42"/>
      <c r="P1018" s="43">
        <v>6000</v>
      </c>
      <c r="Q1018" s="42"/>
      <c r="R1018" s="43">
        <v>0</v>
      </c>
    </row>
    <row r="1019" spans="1:18" x14ac:dyDescent="0.2">
      <c r="A1019" s="42"/>
      <c r="B1019" s="42"/>
      <c r="C1019" s="42"/>
      <c r="D1019" s="42"/>
      <c r="E1019" s="42"/>
      <c r="F1019" s="42"/>
      <c r="G1019" s="42"/>
      <c r="H1019" s="42"/>
      <c r="I1019" s="42"/>
      <c r="J1019" s="42"/>
      <c r="K1019" s="42"/>
      <c r="L1019" s="42"/>
      <c r="M1019" s="42"/>
      <c r="N1019" s="42"/>
      <c r="O1019" s="42"/>
      <c r="P1019" s="42"/>
      <c r="Q1019" s="42"/>
      <c r="R1019" s="42"/>
    </row>
    <row r="1020" spans="1:18" x14ac:dyDescent="0.2">
      <c r="A1020" s="42"/>
      <c r="B1020" s="42"/>
      <c r="C1020" s="42"/>
      <c r="D1020" s="42"/>
      <c r="E1020" s="42" t="s">
        <v>505</v>
      </c>
      <c r="F1020" s="43">
        <v>148644000</v>
      </c>
      <c r="G1020" s="42"/>
      <c r="H1020" s="43">
        <v>2254000</v>
      </c>
      <c r="I1020" s="42"/>
      <c r="J1020" s="43">
        <v>142593000</v>
      </c>
      <c r="K1020" s="42"/>
      <c r="L1020" s="43">
        <v>3797000</v>
      </c>
      <c r="M1020" s="42"/>
      <c r="N1020" s="43">
        <v>55407000</v>
      </c>
      <c r="O1020" s="42"/>
      <c r="P1020" s="43">
        <v>104647000</v>
      </c>
      <c r="Q1020" s="42"/>
      <c r="R1020" s="43">
        <v>11410000</v>
      </c>
    </row>
    <row r="1021" spans="1:18" x14ac:dyDescent="0.2">
      <c r="A1021" s="42"/>
      <c r="B1021" s="42"/>
      <c r="C1021" s="42"/>
      <c r="D1021" s="42"/>
      <c r="E1021" s="42"/>
      <c r="F1021" s="42"/>
      <c r="G1021" s="42"/>
      <c r="H1021" s="42"/>
      <c r="I1021" s="42"/>
      <c r="J1021" s="42"/>
      <c r="K1021" s="42"/>
      <c r="L1021" s="42"/>
      <c r="M1021" s="42"/>
      <c r="N1021" s="42"/>
      <c r="O1021" s="42"/>
      <c r="P1021" s="42"/>
      <c r="Q1021" s="42"/>
      <c r="R1021" s="42"/>
    </row>
    <row r="1022" spans="1:18" x14ac:dyDescent="0.2">
      <c r="A1022" s="42"/>
      <c r="B1022" s="42"/>
      <c r="C1022" s="42"/>
      <c r="D1022" s="42"/>
      <c r="E1022" s="42"/>
      <c r="F1022" s="42"/>
      <c r="G1022" s="42"/>
      <c r="H1022" s="42"/>
      <c r="I1022" s="42"/>
      <c r="J1022" s="42"/>
      <c r="K1022" s="42"/>
      <c r="L1022" s="42"/>
      <c r="M1022" s="42"/>
      <c r="N1022" s="42"/>
      <c r="O1022" s="42"/>
      <c r="P1022" s="42"/>
      <c r="Q1022" s="42"/>
      <c r="R1022" s="42"/>
    </row>
    <row r="1023" spans="1:18" x14ac:dyDescent="0.2">
      <c r="A1023" s="42"/>
      <c r="B1023" s="42"/>
      <c r="C1023" s="42"/>
      <c r="D1023" s="42"/>
      <c r="E1023" s="42" t="s">
        <v>506</v>
      </c>
      <c r="F1023" s="43">
        <v>2440181000</v>
      </c>
      <c r="G1023" s="42"/>
      <c r="H1023" s="43">
        <v>651807000</v>
      </c>
      <c r="I1023" s="42"/>
      <c r="J1023" s="43">
        <v>926701000</v>
      </c>
      <c r="K1023" s="42"/>
      <c r="L1023" s="43">
        <v>861673000</v>
      </c>
      <c r="M1023" s="42"/>
      <c r="N1023" s="43">
        <v>1231692849.52</v>
      </c>
      <c r="O1023" s="42"/>
      <c r="P1023" s="43">
        <v>1348601000</v>
      </c>
      <c r="Q1023" s="42"/>
      <c r="R1023" s="43">
        <v>140113000</v>
      </c>
    </row>
    <row r="1024" spans="1:18" x14ac:dyDescent="0.2">
      <c r="A1024" s="42"/>
      <c r="B1024" s="42"/>
      <c r="C1024" s="42"/>
      <c r="D1024" s="42"/>
      <c r="E1024" s="42"/>
      <c r="F1024" s="42"/>
      <c r="G1024" s="42"/>
      <c r="H1024" s="42"/>
      <c r="I1024" s="42"/>
      <c r="J1024" s="42"/>
      <c r="K1024" s="42"/>
      <c r="L1024" s="42"/>
      <c r="M1024" s="42"/>
      <c r="N1024" s="42" t="s">
        <v>22</v>
      </c>
      <c r="O1024" s="42"/>
      <c r="P1024" s="42"/>
      <c r="Q1024" s="42"/>
      <c r="R1024" s="42"/>
    </row>
    <row r="1025" spans="1:18" x14ac:dyDescent="0.2">
      <c r="A1025" s="42"/>
      <c r="B1025" s="42"/>
      <c r="C1025" s="42"/>
      <c r="D1025" s="42" t="s">
        <v>507</v>
      </c>
      <c r="E1025" s="42"/>
      <c r="F1025" s="43">
        <v>-79678000</v>
      </c>
      <c r="G1025" s="42"/>
      <c r="H1025" s="43">
        <v>-18336000</v>
      </c>
      <c r="I1025" s="42"/>
      <c r="J1025" s="43">
        <v>-22243000</v>
      </c>
      <c r="K1025" s="42"/>
      <c r="L1025" s="43">
        <v>-38821000</v>
      </c>
      <c r="M1025" s="42"/>
      <c r="N1025" s="43">
        <v>-12154000</v>
      </c>
      <c r="O1025" s="42"/>
      <c r="P1025" s="43">
        <v>-67246000</v>
      </c>
      <c r="Q1025" s="42"/>
      <c r="R1025" s="43">
        <v>0</v>
      </c>
    </row>
    <row r="1026" spans="1:18" x14ac:dyDescent="0.2">
      <c r="A1026" s="42"/>
      <c r="B1026" s="42"/>
      <c r="C1026" s="42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42"/>
      <c r="R1026" s="42"/>
    </row>
    <row r="1027" spans="1:18" x14ac:dyDescent="0.2">
      <c r="A1027" s="42"/>
      <c r="B1027" s="42" t="s">
        <v>509</v>
      </c>
      <c r="C1027" s="42"/>
      <c r="D1027" s="42"/>
      <c r="E1027" s="42"/>
      <c r="F1027" s="43">
        <v>31250000</v>
      </c>
      <c r="G1027" s="42"/>
      <c r="H1027" s="43">
        <v>31250000</v>
      </c>
      <c r="I1027" s="42"/>
      <c r="J1027" s="43">
        <v>0</v>
      </c>
      <c r="K1027" s="42"/>
      <c r="L1027" s="43">
        <v>0</v>
      </c>
      <c r="M1027" s="42"/>
      <c r="N1027" s="43">
        <v>0</v>
      </c>
      <c r="O1027" s="42"/>
      <c r="P1027" s="43">
        <v>62601000</v>
      </c>
      <c r="Q1027" s="42"/>
      <c r="R1027" s="43">
        <v>31351000</v>
      </c>
    </row>
    <row r="1028" spans="1:18" x14ac:dyDescent="0.2">
      <c r="A1028" s="42"/>
      <c r="B1028" s="42"/>
      <c r="C1028" s="42"/>
      <c r="D1028" s="42"/>
      <c r="E1028" s="42"/>
      <c r="F1028" s="42"/>
      <c r="G1028" s="42"/>
      <c r="H1028" s="42"/>
      <c r="I1028" s="42"/>
      <c r="J1028" s="42"/>
      <c r="K1028" s="42"/>
      <c r="L1028" s="42"/>
      <c r="M1028" s="42"/>
      <c r="N1028" s="42"/>
      <c r="O1028" s="42"/>
      <c r="P1028" s="42"/>
      <c r="Q1028" s="42"/>
      <c r="R1028" s="42"/>
    </row>
    <row r="1029" spans="1:18" ht="16" thickBot="1" x14ac:dyDescent="0.25">
      <c r="A1029" s="42"/>
      <c r="B1029" s="42"/>
      <c r="C1029" s="42"/>
      <c r="D1029" s="42"/>
      <c r="E1029" s="41" t="s">
        <v>508</v>
      </c>
      <c r="F1029" s="40">
        <v>2393753000</v>
      </c>
      <c r="G1029" s="39"/>
      <c r="H1029" s="37">
        <v>664721000</v>
      </c>
      <c r="I1029" s="38"/>
      <c r="J1029" s="37">
        <v>904458000</v>
      </c>
      <c r="K1029" s="38"/>
      <c r="L1029" s="37">
        <v>822852000</v>
      </c>
      <c r="M1029" s="38"/>
      <c r="N1029" s="37">
        <v>1219538849.52</v>
      </c>
      <c r="O1029" s="38"/>
      <c r="P1029" s="37">
        <v>1343956000</v>
      </c>
      <c r="Q1029" s="38"/>
      <c r="R1029" s="37">
        <v>171464000</v>
      </c>
    </row>
    <row r="1030" spans="1:18" ht="16" thickTop="1" x14ac:dyDescent="0.2"/>
  </sheetData>
  <mergeCells count="2">
    <mergeCell ref="H1:L1"/>
    <mergeCell ref="N1:R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030"/>
  <sheetViews>
    <sheetView zoomScale="145" zoomScaleNormal="145" zoomScalePageLayoutView="145" workbookViewId="0">
      <selection activeCell="H16" sqref="H16"/>
    </sheetView>
  </sheetViews>
  <sheetFormatPr baseColWidth="10" defaultColWidth="9.1640625" defaultRowHeight="15" x14ac:dyDescent="0.2"/>
  <cols>
    <col min="1" max="4" width="1.6640625" style="35" customWidth="1"/>
    <col min="5" max="5" width="33.1640625" style="35" customWidth="1"/>
    <col min="6" max="6" width="11.6640625" style="36" bestFit="1" customWidth="1"/>
    <col min="7" max="7" width="1.1640625" style="35" customWidth="1"/>
    <col min="8" max="8" width="11" style="35" customWidth="1"/>
    <col min="9" max="9" width="1.1640625" style="35" customWidth="1"/>
    <col min="10" max="10" width="12.33203125" style="35" customWidth="1"/>
    <col min="11" max="11" width="1.1640625" style="35" customWidth="1"/>
    <col min="12" max="12" width="10.83203125" style="35" customWidth="1"/>
    <col min="13" max="13" width="1.1640625" style="35" customWidth="1"/>
    <col min="14" max="14" width="11" style="35" bestFit="1" customWidth="1"/>
    <col min="15" max="15" width="1.1640625" style="35" customWidth="1"/>
    <col min="16" max="16" width="17.5" style="35" customWidth="1"/>
    <col min="17" max="17" width="1.1640625" style="35" customWidth="1"/>
    <col min="18" max="18" width="13.5" style="35" customWidth="1"/>
    <col min="19" max="16384" width="9.1640625" style="35"/>
  </cols>
  <sheetData>
    <row r="1" spans="1:18" x14ac:dyDescent="0.2">
      <c r="A1" s="1"/>
      <c r="B1" s="1"/>
      <c r="C1" s="1"/>
      <c r="D1" s="1"/>
      <c r="E1" s="2"/>
      <c r="F1" s="3"/>
      <c r="G1" s="4"/>
      <c r="H1" s="109" t="s">
        <v>0</v>
      </c>
      <c r="I1" s="109"/>
      <c r="J1" s="109"/>
      <c r="K1" s="109"/>
      <c r="L1" s="109"/>
      <c r="M1" s="4"/>
      <c r="N1" s="109" t="s">
        <v>1</v>
      </c>
      <c r="O1" s="109"/>
      <c r="P1" s="109"/>
      <c r="Q1" s="109"/>
      <c r="R1" s="109"/>
    </row>
    <row r="2" spans="1:18" ht="29" x14ac:dyDescent="0.2">
      <c r="A2" s="5" t="s">
        <v>2</v>
      </c>
      <c r="B2" s="6"/>
      <c r="C2" s="6"/>
      <c r="D2" s="6"/>
      <c r="E2" s="7"/>
      <c r="F2" s="8" t="s">
        <v>3</v>
      </c>
      <c r="G2" s="9"/>
      <c r="H2" s="10" t="s">
        <v>4</v>
      </c>
      <c r="I2" s="10"/>
      <c r="J2" s="10"/>
      <c r="K2" s="11"/>
      <c r="L2" s="12" t="s">
        <v>5</v>
      </c>
      <c r="M2" s="11"/>
      <c r="N2" s="12" t="s">
        <v>6</v>
      </c>
      <c r="O2" s="11"/>
      <c r="P2" s="12" t="s">
        <v>7</v>
      </c>
      <c r="Q2" s="11"/>
      <c r="R2" s="12" t="s">
        <v>8</v>
      </c>
    </row>
    <row r="3" spans="1:18" x14ac:dyDescent="0.2">
      <c r="A3" s="5"/>
      <c r="B3" s="5"/>
      <c r="C3" s="5"/>
      <c r="D3" s="5"/>
      <c r="E3" s="13"/>
      <c r="F3" s="14"/>
      <c r="G3" s="15"/>
      <c r="H3" s="16" t="s">
        <v>9</v>
      </c>
      <c r="I3" s="17"/>
      <c r="J3" s="16" t="s">
        <v>10</v>
      </c>
      <c r="K3" s="17"/>
      <c r="L3" s="15"/>
      <c r="M3" s="17"/>
      <c r="N3" s="18"/>
      <c r="O3" s="18"/>
      <c r="P3" s="18"/>
      <c r="Q3" s="18"/>
      <c r="R3" s="18"/>
    </row>
    <row r="4" spans="1:18" x14ac:dyDescent="0.2">
      <c r="A4" s="19" t="s">
        <v>11</v>
      </c>
      <c r="B4" s="20"/>
      <c r="C4" s="20"/>
      <c r="D4" s="20"/>
      <c r="E4" s="20"/>
      <c r="F4" s="21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8" x14ac:dyDescent="0.2">
      <c r="A5" s="20"/>
      <c r="B5" s="22" t="s">
        <v>12</v>
      </c>
      <c r="C5" s="20"/>
      <c r="D5" s="20"/>
      <c r="E5" s="20"/>
      <c r="F5" s="21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</row>
    <row r="6" spans="1:18" x14ac:dyDescent="0.2">
      <c r="A6" s="20"/>
      <c r="B6" s="20"/>
      <c r="C6" s="20"/>
      <c r="D6" s="20"/>
      <c r="E6" s="20"/>
      <c r="F6" s="21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</row>
    <row r="7" spans="1:18" x14ac:dyDescent="0.2">
      <c r="A7" s="20"/>
      <c r="B7" s="20" t="s">
        <v>13</v>
      </c>
      <c r="C7" s="20"/>
      <c r="D7" s="20"/>
      <c r="E7" s="20"/>
      <c r="F7" s="21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</row>
    <row r="8" spans="1:18" x14ac:dyDescent="0.2">
      <c r="A8" s="20"/>
      <c r="B8" s="20"/>
      <c r="C8" s="20" t="s">
        <v>14</v>
      </c>
      <c r="D8" s="20"/>
      <c r="E8" s="20"/>
      <c r="F8" s="23">
        <f>SUM(H8:L8)</f>
        <v>113000</v>
      </c>
      <c r="G8" s="20"/>
      <c r="H8" s="23">
        <v>0</v>
      </c>
      <c r="I8" s="20"/>
      <c r="J8" s="23">
        <v>0</v>
      </c>
      <c r="K8" s="20"/>
      <c r="L8" s="23">
        <v>113000</v>
      </c>
      <c r="M8" s="20"/>
      <c r="N8" s="23">
        <v>65000</v>
      </c>
      <c r="O8" s="20"/>
      <c r="P8" s="23">
        <v>48000</v>
      </c>
      <c r="Q8" s="20"/>
      <c r="R8" s="23">
        <v>0</v>
      </c>
    </row>
    <row r="9" spans="1:18" x14ac:dyDescent="0.2">
      <c r="A9" s="20"/>
      <c r="B9" s="20"/>
      <c r="C9" s="20" t="s">
        <v>15</v>
      </c>
      <c r="D9" s="20"/>
      <c r="E9" s="20"/>
      <c r="F9" s="24">
        <f t="shared" ref="F9:F16" si="0">SUM(H9:L9)</f>
        <v>0</v>
      </c>
      <c r="G9" s="20"/>
      <c r="H9" s="25">
        <v>3000</v>
      </c>
      <c r="I9" s="20"/>
      <c r="J9" s="25">
        <v>-4000</v>
      </c>
      <c r="K9" s="20"/>
      <c r="L9" s="25">
        <v>1000</v>
      </c>
      <c r="M9" s="20"/>
      <c r="N9" s="25">
        <v>2000</v>
      </c>
      <c r="O9" s="20"/>
      <c r="P9" s="25">
        <v>2000</v>
      </c>
      <c r="Q9" s="20"/>
      <c r="R9" s="25">
        <v>4000</v>
      </c>
    </row>
    <row r="10" spans="1:18" x14ac:dyDescent="0.2">
      <c r="A10" s="20"/>
      <c r="B10" s="20"/>
      <c r="C10" s="20" t="s">
        <v>16</v>
      </c>
      <c r="D10" s="20"/>
      <c r="E10" s="20"/>
      <c r="F10" s="24">
        <f t="shared" si="0"/>
        <v>89000</v>
      </c>
      <c r="G10" s="20"/>
      <c r="H10" s="25">
        <v>6000</v>
      </c>
      <c r="I10" s="20"/>
      <c r="J10" s="25">
        <v>20000</v>
      </c>
      <c r="K10" s="20"/>
      <c r="L10" s="25">
        <v>63000</v>
      </c>
      <c r="M10" s="20"/>
      <c r="N10" s="25">
        <v>29000</v>
      </c>
      <c r="O10" s="20"/>
      <c r="P10" s="25">
        <v>60000</v>
      </c>
      <c r="Q10" s="20"/>
      <c r="R10" s="25">
        <v>0</v>
      </c>
    </row>
    <row r="11" spans="1:18" x14ac:dyDescent="0.2">
      <c r="A11" s="20"/>
      <c r="B11" s="20"/>
      <c r="C11" s="20" t="s">
        <v>17</v>
      </c>
      <c r="D11" s="20"/>
      <c r="E11" s="20"/>
      <c r="F11" s="24">
        <f t="shared" si="0"/>
        <v>26000</v>
      </c>
      <c r="G11" s="20"/>
      <c r="H11" s="25">
        <v>5000</v>
      </c>
      <c r="I11" s="20"/>
      <c r="J11" s="25">
        <v>15000</v>
      </c>
      <c r="K11" s="20"/>
      <c r="L11" s="25">
        <v>6000</v>
      </c>
      <c r="M11" s="20"/>
      <c r="N11" s="25">
        <v>0</v>
      </c>
      <c r="O11" s="20"/>
      <c r="P11" s="25">
        <v>26000</v>
      </c>
      <c r="Q11" s="20"/>
      <c r="R11" s="25">
        <v>0</v>
      </c>
    </row>
    <row r="12" spans="1:18" x14ac:dyDescent="0.2">
      <c r="A12" s="20"/>
      <c r="B12" s="20"/>
      <c r="C12" s="20" t="s">
        <v>18</v>
      </c>
      <c r="D12" s="20"/>
      <c r="E12" s="20"/>
      <c r="F12" s="24">
        <f t="shared" si="0"/>
        <v>4000</v>
      </c>
      <c r="G12" s="20"/>
      <c r="H12" s="25">
        <v>0</v>
      </c>
      <c r="I12" s="20"/>
      <c r="J12" s="25">
        <v>1000</v>
      </c>
      <c r="K12" s="20"/>
      <c r="L12" s="25">
        <v>3000</v>
      </c>
      <c r="M12" s="20"/>
      <c r="N12" s="25">
        <v>0</v>
      </c>
      <c r="O12" s="20"/>
      <c r="P12" s="25">
        <v>4000</v>
      </c>
      <c r="Q12" s="20"/>
      <c r="R12" s="25">
        <v>0</v>
      </c>
    </row>
    <row r="13" spans="1:18" x14ac:dyDescent="0.2">
      <c r="A13" s="20"/>
      <c r="B13" s="20"/>
      <c r="C13" s="20" t="s">
        <v>19</v>
      </c>
      <c r="D13" s="20"/>
      <c r="E13" s="20"/>
      <c r="F13" s="24">
        <f t="shared" si="0"/>
        <v>2000</v>
      </c>
      <c r="G13" s="20"/>
      <c r="H13" s="25">
        <v>1000</v>
      </c>
      <c r="I13" s="20"/>
      <c r="J13" s="25">
        <v>0</v>
      </c>
      <c r="K13" s="20"/>
      <c r="L13" s="25">
        <v>1000</v>
      </c>
      <c r="M13" s="20"/>
      <c r="N13" s="25">
        <v>0</v>
      </c>
      <c r="O13" s="20"/>
      <c r="P13" s="25">
        <v>2000</v>
      </c>
      <c r="Q13" s="20"/>
      <c r="R13" s="25">
        <v>0</v>
      </c>
    </row>
    <row r="14" spans="1:18" x14ac:dyDescent="0.2">
      <c r="A14" s="20"/>
      <c r="B14" s="20"/>
      <c r="C14" s="20" t="s">
        <v>20</v>
      </c>
      <c r="D14" s="20"/>
      <c r="E14" s="20"/>
      <c r="F14" s="24">
        <f t="shared" si="0"/>
        <v>4000</v>
      </c>
      <c r="G14" s="20"/>
      <c r="H14" s="25">
        <v>0</v>
      </c>
      <c r="I14" s="20"/>
      <c r="J14" s="25">
        <v>-1000</v>
      </c>
      <c r="K14" s="20"/>
      <c r="L14" s="25">
        <v>5000</v>
      </c>
      <c r="M14" s="20"/>
      <c r="N14" s="25">
        <v>0</v>
      </c>
      <c r="O14" s="20"/>
      <c r="P14" s="25">
        <v>4000</v>
      </c>
      <c r="Q14" s="20"/>
      <c r="R14" s="25">
        <v>0</v>
      </c>
    </row>
    <row r="15" spans="1:18" x14ac:dyDescent="0.2">
      <c r="A15" s="20"/>
      <c r="B15" s="20"/>
      <c r="C15" s="20" t="s">
        <v>21</v>
      </c>
      <c r="D15" s="20"/>
      <c r="E15" s="20"/>
      <c r="F15" s="24"/>
      <c r="G15" s="20"/>
      <c r="H15" s="25"/>
      <c r="I15" s="20"/>
      <c r="J15" s="25"/>
      <c r="K15" s="20"/>
      <c r="L15" s="25"/>
      <c r="M15" s="20"/>
      <c r="N15" s="25"/>
      <c r="O15" s="20"/>
      <c r="P15" s="25"/>
      <c r="Q15" s="20"/>
      <c r="R15" s="25"/>
    </row>
    <row r="16" spans="1:18" x14ac:dyDescent="0.2">
      <c r="A16" s="20"/>
      <c r="B16" s="20"/>
      <c r="C16" s="20" t="s">
        <v>22</v>
      </c>
      <c r="D16" s="20"/>
      <c r="E16" s="20" t="s">
        <v>23</v>
      </c>
      <c r="F16" s="26">
        <f t="shared" si="0"/>
        <v>34000</v>
      </c>
      <c r="G16" s="20"/>
      <c r="H16" s="27">
        <v>17000</v>
      </c>
      <c r="I16" s="20"/>
      <c r="J16" s="27">
        <v>2000</v>
      </c>
      <c r="K16" s="20"/>
      <c r="L16" s="27">
        <v>15000</v>
      </c>
      <c r="M16" s="20"/>
      <c r="N16" s="27">
        <v>20000</v>
      </c>
      <c r="O16" s="20"/>
      <c r="P16" s="27">
        <v>14000</v>
      </c>
      <c r="Q16" s="20"/>
      <c r="R16" s="27">
        <v>0</v>
      </c>
    </row>
    <row r="17" spans="1:18" x14ac:dyDescent="0.2">
      <c r="A17" s="20"/>
      <c r="B17" s="20"/>
      <c r="C17" s="20"/>
      <c r="D17" s="20"/>
      <c r="E17" s="20"/>
      <c r="F17" s="21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</row>
    <row r="18" spans="1:18" x14ac:dyDescent="0.2">
      <c r="A18" s="20"/>
      <c r="B18" s="20"/>
      <c r="C18" s="20"/>
      <c r="D18" s="20"/>
      <c r="E18" s="20" t="s">
        <v>3</v>
      </c>
      <c r="F18" s="28">
        <f>SUM(F8:F16)</f>
        <v>272000</v>
      </c>
      <c r="G18" s="20"/>
      <c r="H18" s="27">
        <f>SUM(H8:H16)</f>
        <v>32000</v>
      </c>
      <c r="I18" s="27">
        <f t="shared" ref="I18:R18" si="1">SUM(I8:I16)</f>
        <v>0</v>
      </c>
      <c r="J18" s="27">
        <f t="shared" si="1"/>
        <v>33000</v>
      </c>
      <c r="K18" s="27">
        <f t="shared" si="1"/>
        <v>0</v>
      </c>
      <c r="L18" s="27">
        <f t="shared" si="1"/>
        <v>207000</v>
      </c>
      <c r="M18" s="27">
        <f t="shared" si="1"/>
        <v>0</v>
      </c>
      <c r="N18" s="27">
        <f t="shared" si="1"/>
        <v>116000</v>
      </c>
      <c r="O18" s="27">
        <f t="shared" si="1"/>
        <v>0</v>
      </c>
      <c r="P18" s="27">
        <f t="shared" si="1"/>
        <v>160000</v>
      </c>
      <c r="Q18" s="27">
        <f t="shared" si="1"/>
        <v>0</v>
      </c>
      <c r="R18" s="27">
        <f t="shared" si="1"/>
        <v>4000</v>
      </c>
    </row>
    <row r="19" spans="1:18" x14ac:dyDescent="0.2">
      <c r="A19" s="20"/>
      <c r="B19" s="20"/>
      <c r="C19" s="20"/>
      <c r="D19" s="20"/>
      <c r="E19" s="20"/>
      <c r="F19" s="21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</row>
    <row r="20" spans="1:18" x14ac:dyDescent="0.2">
      <c r="A20" s="20"/>
      <c r="B20" s="20" t="s">
        <v>24</v>
      </c>
      <c r="C20" s="20"/>
      <c r="D20" s="20"/>
      <c r="E20" s="20"/>
      <c r="F20" s="21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</row>
    <row r="21" spans="1:18" x14ac:dyDescent="0.2">
      <c r="A21" s="20"/>
      <c r="B21" s="20"/>
      <c r="C21" s="20" t="s">
        <v>14</v>
      </c>
      <c r="D21" s="20"/>
      <c r="E21" s="20"/>
      <c r="F21" s="24">
        <f t="shared" ref="F21:F32" si="2">SUM(H21:L21)</f>
        <v>4463000</v>
      </c>
      <c r="G21" s="20"/>
      <c r="H21" s="25">
        <v>3391000</v>
      </c>
      <c r="I21" s="20"/>
      <c r="J21" s="25">
        <v>35000</v>
      </c>
      <c r="K21" s="20"/>
      <c r="L21" s="25">
        <v>1037000</v>
      </c>
      <c r="M21" s="20"/>
      <c r="N21" s="25">
        <v>2958000</v>
      </c>
      <c r="O21" s="20"/>
      <c r="P21" s="25">
        <v>1505000</v>
      </c>
      <c r="Q21" s="20"/>
      <c r="R21" s="25">
        <v>0</v>
      </c>
    </row>
    <row r="22" spans="1:18" x14ac:dyDescent="0.2">
      <c r="A22" s="20"/>
      <c r="B22" s="20"/>
      <c r="C22" s="20" t="s">
        <v>15</v>
      </c>
      <c r="D22" s="20"/>
      <c r="E22" s="20"/>
      <c r="F22" s="24">
        <f t="shared" si="2"/>
        <v>1890000</v>
      </c>
      <c r="G22" s="20"/>
      <c r="H22" s="25">
        <v>1089000</v>
      </c>
      <c r="I22" s="20"/>
      <c r="J22" s="25">
        <v>67000</v>
      </c>
      <c r="K22" s="20"/>
      <c r="L22" s="25">
        <v>734000</v>
      </c>
      <c r="M22" s="20"/>
      <c r="N22" s="25">
        <v>1293000</v>
      </c>
      <c r="O22" s="20"/>
      <c r="P22" s="25">
        <v>1043000</v>
      </c>
      <c r="Q22" s="20"/>
      <c r="R22" s="25">
        <v>446000</v>
      </c>
    </row>
    <row r="23" spans="1:18" x14ac:dyDescent="0.2">
      <c r="A23" s="20"/>
      <c r="B23" s="20"/>
      <c r="C23" s="20" t="s">
        <v>16</v>
      </c>
      <c r="D23" s="20"/>
      <c r="E23" s="20"/>
      <c r="F23" s="24">
        <f t="shared" si="2"/>
        <v>10972000</v>
      </c>
      <c r="G23" s="20"/>
      <c r="H23" s="25">
        <v>3357000</v>
      </c>
      <c r="I23" s="20"/>
      <c r="J23" s="25">
        <v>566000</v>
      </c>
      <c r="K23" s="20"/>
      <c r="L23" s="25">
        <v>7049000</v>
      </c>
      <c r="M23" s="20"/>
      <c r="N23" s="25">
        <v>5859000</v>
      </c>
      <c r="O23" s="20"/>
      <c r="P23" s="25">
        <v>5126000</v>
      </c>
      <c r="Q23" s="20"/>
      <c r="R23" s="25">
        <v>13000</v>
      </c>
    </row>
    <row r="24" spans="1:18" x14ac:dyDescent="0.2">
      <c r="A24" s="20"/>
      <c r="B24" s="20"/>
      <c r="C24" s="20" t="s">
        <v>25</v>
      </c>
      <c r="D24" s="20"/>
      <c r="E24" s="20"/>
      <c r="F24" s="24">
        <f t="shared" si="2"/>
        <v>454000</v>
      </c>
      <c r="G24" s="20"/>
      <c r="H24" s="25">
        <v>139000</v>
      </c>
      <c r="I24" s="20"/>
      <c r="J24" s="25">
        <v>301000</v>
      </c>
      <c r="K24" s="20"/>
      <c r="L24" s="25">
        <v>14000</v>
      </c>
      <c r="M24" s="20"/>
      <c r="N24" s="25">
        <v>246000</v>
      </c>
      <c r="O24" s="20"/>
      <c r="P24" s="25">
        <v>223000</v>
      </c>
      <c r="Q24" s="20"/>
      <c r="R24" s="25">
        <v>15000</v>
      </c>
    </row>
    <row r="25" spans="1:18" x14ac:dyDescent="0.2">
      <c r="A25" s="20"/>
      <c r="B25" s="20"/>
      <c r="C25" s="20" t="s">
        <v>26</v>
      </c>
      <c r="D25" s="20"/>
      <c r="E25" s="20"/>
      <c r="F25" s="24">
        <f t="shared" si="2"/>
        <v>0</v>
      </c>
      <c r="G25" s="20"/>
      <c r="H25" s="25">
        <v>0</v>
      </c>
      <c r="I25" s="20"/>
      <c r="J25" s="25">
        <v>0</v>
      </c>
      <c r="K25" s="20"/>
      <c r="L25" s="25">
        <v>0</v>
      </c>
      <c r="M25" s="20"/>
      <c r="N25" s="25">
        <v>0</v>
      </c>
      <c r="O25" s="20"/>
      <c r="P25" s="25">
        <v>0</v>
      </c>
      <c r="Q25" s="20"/>
      <c r="R25" s="25">
        <v>0</v>
      </c>
    </row>
    <row r="26" spans="1:18" x14ac:dyDescent="0.2">
      <c r="A26" s="20"/>
      <c r="B26" s="20"/>
      <c r="C26" s="20" t="s">
        <v>17</v>
      </c>
      <c r="D26" s="20"/>
      <c r="E26" s="20"/>
      <c r="F26" s="24">
        <f t="shared" si="2"/>
        <v>5654000</v>
      </c>
      <c r="G26" s="20"/>
      <c r="H26" s="25">
        <v>2631000</v>
      </c>
      <c r="I26" s="20"/>
      <c r="J26" s="25">
        <v>327000</v>
      </c>
      <c r="K26" s="20"/>
      <c r="L26" s="25">
        <v>2696000</v>
      </c>
      <c r="M26" s="20"/>
      <c r="N26" s="25">
        <v>3485000</v>
      </c>
      <c r="O26" s="20"/>
      <c r="P26" s="25">
        <v>2169000</v>
      </c>
      <c r="Q26" s="20"/>
      <c r="R26" s="25">
        <v>0</v>
      </c>
    </row>
    <row r="27" spans="1:18" x14ac:dyDescent="0.2">
      <c r="A27" s="20"/>
      <c r="B27" s="20"/>
      <c r="C27" s="20" t="s">
        <v>18</v>
      </c>
      <c r="D27" s="20"/>
      <c r="E27" s="20"/>
      <c r="F27" s="24">
        <f t="shared" si="2"/>
        <v>5482000</v>
      </c>
      <c r="G27" s="20"/>
      <c r="H27" s="25">
        <v>1423000</v>
      </c>
      <c r="I27" s="20"/>
      <c r="J27" s="25">
        <v>212000</v>
      </c>
      <c r="K27" s="20"/>
      <c r="L27" s="25">
        <v>3847000</v>
      </c>
      <c r="M27" s="20"/>
      <c r="N27" s="25">
        <v>2931000</v>
      </c>
      <c r="O27" s="20"/>
      <c r="P27" s="25">
        <v>2551000</v>
      </c>
      <c r="Q27" s="20"/>
      <c r="R27" s="25">
        <v>0</v>
      </c>
    </row>
    <row r="28" spans="1:18" x14ac:dyDescent="0.2">
      <c r="A28" s="20"/>
      <c r="B28" s="20"/>
      <c r="C28" s="20" t="s">
        <v>19</v>
      </c>
      <c r="D28" s="20"/>
      <c r="E28" s="20"/>
      <c r="F28" s="24">
        <f t="shared" si="2"/>
        <v>7718000</v>
      </c>
      <c r="G28" s="20"/>
      <c r="H28" s="25">
        <v>1303000</v>
      </c>
      <c r="I28" s="20"/>
      <c r="J28" s="25">
        <v>197000</v>
      </c>
      <c r="K28" s="20"/>
      <c r="L28" s="25">
        <v>6218000</v>
      </c>
      <c r="M28" s="20"/>
      <c r="N28" s="25">
        <v>2915000</v>
      </c>
      <c r="O28" s="20"/>
      <c r="P28" s="25">
        <v>4803000</v>
      </c>
      <c r="Q28" s="20"/>
      <c r="R28" s="25">
        <v>0</v>
      </c>
    </row>
    <row r="29" spans="1:18" x14ac:dyDescent="0.2">
      <c r="A29" s="20"/>
      <c r="B29" s="20"/>
      <c r="C29" s="20" t="s">
        <v>20</v>
      </c>
      <c r="D29" s="20"/>
      <c r="E29" s="20"/>
      <c r="F29" s="24">
        <f t="shared" si="2"/>
        <v>5986000</v>
      </c>
      <c r="G29" s="20"/>
      <c r="H29" s="25">
        <v>2317000</v>
      </c>
      <c r="I29" s="20"/>
      <c r="J29" s="25">
        <v>51000</v>
      </c>
      <c r="K29" s="20"/>
      <c r="L29" s="25">
        <v>3618000</v>
      </c>
      <c r="M29" s="20"/>
      <c r="N29" s="25">
        <v>3727000</v>
      </c>
      <c r="O29" s="20"/>
      <c r="P29" s="25">
        <v>2259000</v>
      </c>
      <c r="Q29" s="20"/>
      <c r="R29" s="25">
        <v>0</v>
      </c>
    </row>
    <row r="30" spans="1:18" x14ac:dyDescent="0.2">
      <c r="A30" s="20"/>
      <c r="B30" s="20"/>
      <c r="C30" s="20" t="s">
        <v>21</v>
      </c>
      <c r="D30" s="20"/>
      <c r="E30" s="20"/>
      <c r="F30" s="24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</row>
    <row r="31" spans="1:18" x14ac:dyDescent="0.2">
      <c r="A31" s="20"/>
      <c r="B31" s="20"/>
      <c r="C31" s="20" t="s">
        <v>22</v>
      </c>
      <c r="D31" s="20"/>
      <c r="E31" s="20" t="s">
        <v>23</v>
      </c>
      <c r="F31" s="24">
        <f t="shared" si="2"/>
        <v>2325000</v>
      </c>
      <c r="G31" s="20"/>
      <c r="H31" s="25">
        <v>1110000</v>
      </c>
      <c r="I31" s="20"/>
      <c r="J31" s="25">
        <v>178000</v>
      </c>
      <c r="K31" s="20"/>
      <c r="L31" s="25">
        <v>1037000</v>
      </c>
      <c r="M31" s="20"/>
      <c r="N31" s="25">
        <v>1475000</v>
      </c>
      <c r="O31" s="20"/>
      <c r="P31" s="25">
        <v>850000</v>
      </c>
      <c r="Q31" s="20"/>
      <c r="R31" s="25">
        <v>0</v>
      </c>
    </row>
    <row r="32" spans="1:18" x14ac:dyDescent="0.2">
      <c r="A32" s="20"/>
      <c r="B32" s="20"/>
      <c r="C32" s="20" t="s">
        <v>27</v>
      </c>
      <c r="D32" s="20"/>
      <c r="E32" s="20"/>
      <c r="F32" s="26">
        <f t="shared" si="2"/>
        <v>-1000</v>
      </c>
      <c r="G32" s="29"/>
      <c r="H32" s="27">
        <v>0</v>
      </c>
      <c r="I32" s="29"/>
      <c r="J32" s="27">
        <v>-1000</v>
      </c>
      <c r="K32" s="29"/>
      <c r="L32" s="27">
        <v>0</v>
      </c>
      <c r="M32" s="29"/>
      <c r="N32" s="27">
        <v>0</v>
      </c>
      <c r="O32" s="29"/>
      <c r="P32" s="27">
        <v>-1000</v>
      </c>
      <c r="Q32" s="29"/>
      <c r="R32" s="27">
        <v>0</v>
      </c>
    </row>
    <row r="33" spans="1:18" x14ac:dyDescent="0.2">
      <c r="A33" s="20"/>
      <c r="B33" s="20"/>
      <c r="C33" s="20"/>
      <c r="D33" s="20"/>
      <c r="E33" s="20"/>
      <c r="F33" s="21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</row>
    <row r="34" spans="1:18" x14ac:dyDescent="0.2">
      <c r="A34" s="20"/>
      <c r="B34" s="20"/>
      <c r="C34" s="20"/>
      <c r="D34" s="20"/>
      <c r="E34" s="20" t="s">
        <v>3</v>
      </c>
      <c r="F34" s="28">
        <f>SUM(F21:F32)</f>
        <v>44943000</v>
      </c>
      <c r="G34" s="20"/>
      <c r="H34" s="27">
        <f>SUM(H21:H32)</f>
        <v>16760000</v>
      </c>
      <c r="I34" s="20"/>
      <c r="J34" s="27">
        <f>SUM(J21:J32)</f>
        <v>1933000</v>
      </c>
      <c r="K34" s="20"/>
      <c r="L34" s="27">
        <f>SUM(L21:L32)</f>
        <v>26250000</v>
      </c>
      <c r="M34" s="20"/>
      <c r="N34" s="27">
        <f>SUM(N21:N32)</f>
        <v>24889000</v>
      </c>
      <c r="O34" s="20"/>
      <c r="P34" s="27">
        <f>SUM(P21:P32)</f>
        <v>20528000</v>
      </c>
      <c r="Q34" s="20"/>
      <c r="R34" s="27">
        <f>SUM(R21:R32)</f>
        <v>474000</v>
      </c>
    </row>
    <row r="35" spans="1:18" x14ac:dyDescent="0.2">
      <c r="A35" s="20"/>
      <c r="B35" s="20"/>
      <c r="C35" s="20"/>
      <c r="D35" s="20"/>
      <c r="E35" s="20"/>
      <c r="F35" s="21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</row>
    <row r="36" spans="1:18" x14ac:dyDescent="0.2">
      <c r="A36" s="20"/>
      <c r="B36" s="20" t="s">
        <v>28</v>
      </c>
      <c r="C36" s="20"/>
      <c r="D36" s="20"/>
      <c r="E36" s="20"/>
      <c r="F36" s="28">
        <f>SUM(H36:L36)</f>
        <v>71000</v>
      </c>
      <c r="G36" s="20"/>
      <c r="H36" s="27">
        <v>0</v>
      </c>
      <c r="I36" s="20"/>
      <c r="J36" s="27">
        <v>13000</v>
      </c>
      <c r="K36" s="20"/>
      <c r="L36" s="27">
        <v>58000</v>
      </c>
      <c r="M36" s="20"/>
      <c r="N36" s="27">
        <v>38000</v>
      </c>
      <c r="O36" s="20"/>
      <c r="P36" s="27">
        <v>33000</v>
      </c>
      <c r="Q36" s="20"/>
      <c r="R36" s="27">
        <v>0</v>
      </c>
    </row>
    <row r="37" spans="1:18" x14ac:dyDescent="0.2">
      <c r="A37" s="20"/>
      <c r="B37" s="20"/>
      <c r="C37" s="20"/>
      <c r="D37" s="20"/>
      <c r="E37" s="20"/>
      <c r="F37" s="21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</row>
    <row r="38" spans="1:18" x14ac:dyDescent="0.2">
      <c r="A38" s="20"/>
      <c r="B38" s="20" t="s">
        <v>29</v>
      </c>
      <c r="C38" s="20"/>
      <c r="D38" s="20"/>
      <c r="E38" s="20"/>
      <c r="F38" s="28">
        <f>SUM(H38:L38)</f>
        <v>0</v>
      </c>
      <c r="G38" s="20"/>
      <c r="H38" s="27">
        <v>0</v>
      </c>
      <c r="I38" s="20"/>
      <c r="J38" s="27">
        <v>0</v>
      </c>
      <c r="K38" s="20"/>
      <c r="L38" s="27">
        <v>0</v>
      </c>
      <c r="M38" s="20"/>
      <c r="N38" s="27">
        <v>0</v>
      </c>
      <c r="O38" s="20"/>
      <c r="P38" s="27">
        <v>0</v>
      </c>
      <c r="Q38" s="20"/>
      <c r="R38" s="27">
        <v>0</v>
      </c>
    </row>
    <row r="39" spans="1:18" x14ac:dyDescent="0.2">
      <c r="A39" s="20"/>
      <c r="B39" s="20"/>
      <c r="C39" s="20"/>
      <c r="D39" s="20"/>
      <c r="E39" s="20"/>
      <c r="F39" s="21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</row>
    <row r="40" spans="1:18" x14ac:dyDescent="0.2">
      <c r="A40" s="20"/>
      <c r="B40" s="20"/>
      <c r="C40" s="20"/>
      <c r="D40" s="20"/>
      <c r="E40" s="20" t="s">
        <v>30</v>
      </c>
      <c r="F40" s="21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</row>
    <row r="41" spans="1:18" x14ac:dyDescent="0.2">
      <c r="A41" s="20"/>
      <c r="B41" s="20"/>
      <c r="C41" s="20"/>
      <c r="D41" s="20"/>
      <c r="E41" s="20" t="s">
        <v>31</v>
      </c>
      <c r="F41" s="28">
        <f>F18+F34+F36+F38</f>
        <v>45286000</v>
      </c>
      <c r="G41" s="27">
        <f t="shared" ref="G41:R41" si="3">G18+G34+G36+G38</f>
        <v>0</v>
      </c>
      <c r="H41" s="27">
        <f t="shared" si="3"/>
        <v>16792000</v>
      </c>
      <c r="I41" s="27">
        <f t="shared" si="3"/>
        <v>0</v>
      </c>
      <c r="J41" s="27">
        <f t="shared" si="3"/>
        <v>1979000</v>
      </c>
      <c r="K41" s="27">
        <f t="shared" si="3"/>
        <v>0</v>
      </c>
      <c r="L41" s="27">
        <f t="shared" si="3"/>
        <v>26515000</v>
      </c>
      <c r="M41" s="27">
        <f t="shared" si="3"/>
        <v>0</v>
      </c>
      <c r="N41" s="27">
        <f t="shared" si="3"/>
        <v>25043000</v>
      </c>
      <c r="O41" s="27">
        <f t="shared" si="3"/>
        <v>0</v>
      </c>
      <c r="P41" s="27">
        <f t="shared" si="3"/>
        <v>20721000</v>
      </c>
      <c r="Q41" s="27">
        <f t="shared" si="3"/>
        <v>0</v>
      </c>
      <c r="R41" s="27">
        <f t="shared" si="3"/>
        <v>478000</v>
      </c>
    </row>
    <row r="42" spans="1:18" x14ac:dyDescent="0.2">
      <c r="A42" s="20"/>
      <c r="B42" s="20"/>
      <c r="C42" s="20"/>
      <c r="D42" s="20"/>
      <c r="E42" s="20"/>
      <c r="F42" s="21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</row>
    <row r="43" spans="1:18" x14ac:dyDescent="0.2">
      <c r="A43" s="22" t="s">
        <v>32</v>
      </c>
      <c r="B43" s="20"/>
      <c r="C43" s="20"/>
      <c r="D43" s="20"/>
      <c r="E43" s="20"/>
      <c r="F43" s="21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18" x14ac:dyDescent="0.2">
      <c r="A44" s="20"/>
      <c r="B44" s="22" t="s">
        <v>33</v>
      </c>
      <c r="C44" s="20"/>
      <c r="D44" s="20"/>
      <c r="E44" s="20"/>
      <c r="F44" s="21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</row>
    <row r="45" spans="1:18" x14ac:dyDescent="0.2">
      <c r="A45" s="20"/>
      <c r="B45" s="20"/>
      <c r="C45" s="20"/>
      <c r="D45" s="20"/>
      <c r="E45" s="20"/>
      <c r="F45" s="21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</row>
    <row r="46" spans="1:18" x14ac:dyDescent="0.2">
      <c r="A46" s="20"/>
      <c r="B46" s="20" t="s">
        <v>13</v>
      </c>
      <c r="C46" s="20"/>
      <c r="D46" s="20"/>
      <c r="E46" s="20"/>
      <c r="F46" s="28">
        <f>SUM(H46:L46)</f>
        <v>77953000</v>
      </c>
      <c r="G46" s="20"/>
      <c r="H46" s="27">
        <v>24173000</v>
      </c>
      <c r="I46" s="20"/>
      <c r="J46" s="27">
        <v>44633000</v>
      </c>
      <c r="K46" s="20"/>
      <c r="L46" s="27">
        <v>9147000</v>
      </c>
      <c r="M46" s="20"/>
      <c r="N46" s="27">
        <v>44675000</v>
      </c>
      <c r="O46" s="20"/>
      <c r="P46" s="27">
        <v>33278000</v>
      </c>
      <c r="Q46" s="20"/>
      <c r="R46" s="27">
        <v>0</v>
      </c>
    </row>
    <row r="47" spans="1:18" x14ac:dyDescent="0.2">
      <c r="A47" s="20"/>
      <c r="B47" s="20"/>
      <c r="C47" s="20"/>
      <c r="D47" s="20"/>
      <c r="E47" s="20"/>
      <c r="F47" s="21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</row>
    <row r="48" spans="1:18" x14ac:dyDescent="0.2">
      <c r="A48" s="20"/>
      <c r="B48" s="20" t="s">
        <v>24</v>
      </c>
      <c r="C48" s="20"/>
      <c r="D48" s="20"/>
      <c r="E48" s="20"/>
      <c r="F48" s="28">
        <f>SUM(H48:L48)</f>
        <v>3058000</v>
      </c>
      <c r="G48" s="20"/>
      <c r="H48" s="27">
        <v>12000</v>
      </c>
      <c r="I48" s="20"/>
      <c r="J48" s="27">
        <v>15000</v>
      </c>
      <c r="K48" s="20"/>
      <c r="L48" s="27">
        <v>3031000</v>
      </c>
      <c r="M48" s="20"/>
      <c r="N48" s="27">
        <v>1162000</v>
      </c>
      <c r="O48" s="20"/>
      <c r="P48" s="27">
        <v>1907000</v>
      </c>
      <c r="Q48" s="20"/>
      <c r="R48" s="27">
        <v>11000</v>
      </c>
    </row>
    <row r="49" spans="1:18" x14ac:dyDescent="0.2">
      <c r="A49" s="20"/>
      <c r="B49" s="20"/>
      <c r="C49" s="20"/>
      <c r="D49" s="20"/>
      <c r="E49" s="20"/>
      <c r="F49" s="21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</row>
    <row r="50" spans="1:18" x14ac:dyDescent="0.2">
      <c r="A50" s="20"/>
      <c r="B50" s="20" t="s">
        <v>28</v>
      </c>
      <c r="C50" s="20"/>
      <c r="D50" s="20"/>
      <c r="E50" s="20"/>
      <c r="F50" s="28">
        <f>SUM(H50:L50)</f>
        <v>1130000</v>
      </c>
      <c r="G50" s="20"/>
      <c r="H50" s="27">
        <v>0</v>
      </c>
      <c r="I50" s="20"/>
      <c r="J50" s="27">
        <v>816000</v>
      </c>
      <c r="K50" s="20"/>
      <c r="L50" s="27">
        <v>314000</v>
      </c>
      <c r="M50" s="20"/>
      <c r="N50" s="27">
        <v>552000</v>
      </c>
      <c r="O50" s="20"/>
      <c r="P50" s="27">
        <v>578000</v>
      </c>
      <c r="Q50" s="20"/>
      <c r="R50" s="27">
        <v>0</v>
      </c>
    </row>
    <row r="51" spans="1:18" x14ac:dyDescent="0.2">
      <c r="A51" s="20"/>
      <c r="B51" s="20"/>
      <c r="C51" s="20"/>
      <c r="D51" s="20"/>
      <c r="E51" s="20"/>
      <c r="F51" s="21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</row>
    <row r="52" spans="1:18" x14ac:dyDescent="0.2">
      <c r="A52" s="20"/>
      <c r="B52" s="20" t="s">
        <v>29</v>
      </c>
      <c r="C52" s="20"/>
      <c r="D52" s="20"/>
      <c r="E52" s="20"/>
      <c r="F52" s="28">
        <f>SUM(H52:L52)</f>
        <v>20907000</v>
      </c>
      <c r="G52" s="20"/>
      <c r="H52" s="27">
        <v>26000</v>
      </c>
      <c r="I52" s="20"/>
      <c r="J52" s="27">
        <v>19098000</v>
      </c>
      <c r="K52" s="20"/>
      <c r="L52" s="27">
        <v>1783000</v>
      </c>
      <c r="M52" s="20"/>
      <c r="N52" s="27">
        <v>10660000</v>
      </c>
      <c r="O52" s="20"/>
      <c r="P52" s="27">
        <v>10254000</v>
      </c>
      <c r="Q52" s="20"/>
      <c r="R52" s="27">
        <v>7000</v>
      </c>
    </row>
    <row r="53" spans="1:18" x14ac:dyDescent="0.2">
      <c r="A53" s="20"/>
      <c r="B53" s="20"/>
      <c r="C53" s="20"/>
      <c r="D53" s="20"/>
      <c r="E53" s="20"/>
      <c r="F53" s="21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</row>
    <row r="54" spans="1:18" x14ac:dyDescent="0.2">
      <c r="A54" s="20"/>
      <c r="B54" s="20"/>
      <c r="C54" s="20"/>
      <c r="D54" s="20"/>
      <c r="E54" s="20" t="s">
        <v>34</v>
      </c>
      <c r="F54" s="21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</row>
    <row r="55" spans="1:18" x14ac:dyDescent="0.2">
      <c r="A55" s="20"/>
      <c r="B55" s="20"/>
      <c r="C55" s="20"/>
      <c r="D55" s="20"/>
      <c r="E55" s="20" t="s">
        <v>35</v>
      </c>
      <c r="F55" s="28">
        <f>F46+F48+F50+F52</f>
        <v>103048000</v>
      </c>
      <c r="G55" s="20">
        <v>0</v>
      </c>
      <c r="H55" s="27">
        <f t="shared" ref="H55:R55" si="4">H46+H48+H50+H52</f>
        <v>24211000</v>
      </c>
      <c r="I55" s="27">
        <f t="shared" si="4"/>
        <v>0</v>
      </c>
      <c r="J55" s="27">
        <f t="shared" si="4"/>
        <v>64562000</v>
      </c>
      <c r="K55" s="27">
        <f t="shared" si="4"/>
        <v>0</v>
      </c>
      <c r="L55" s="27">
        <f t="shared" si="4"/>
        <v>14275000</v>
      </c>
      <c r="M55" s="27">
        <f t="shared" si="4"/>
        <v>0</v>
      </c>
      <c r="N55" s="27">
        <f t="shared" si="4"/>
        <v>57049000</v>
      </c>
      <c r="O55" s="27">
        <f t="shared" si="4"/>
        <v>0</v>
      </c>
      <c r="P55" s="27">
        <f t="shared" si="4"/>
        <v>46017000</v>
      </c>
      <c r="Q55" s="27">
        <f t="shared" si="4"/>
        <v>0</v>
      </c>
      <c r="R55" s="27">
        <f t="shared" si="4"/>
        <v>18000</v>
      </c>
    </row>
    <row r="56" spans="1:18" x14ac:dyDescent="0.2">
      <c r="A56" s="20"/>
      <c r="B56" s="20"/>
      <c r="C56" s="20"/>
      <c r="D56" s="20"/>
      <c r="E56" s="20"/>
      <c r="F56" s="21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</row>
    <row r="57" spans="1:18" x14ac:dyDescent="0.2">
      <c r="A57" s="22" t="s">
        <v>36</v>
      </c>
      <c r="B57" s="20"/>
      <c r="C57" s="20"/>
      <c r="D57" s="20"/>
      <c r="E57" s="20"/>
      <c r="F57" s="21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</row>
    <row r="58" spans="1:18" x14ac:dyDescent="0.2">
      <c r="A58" s="20"/>
      <c r="B58" s="20"/>
      <c r="C58" s="20"/>
      <c r="D58" s="20"/>
      <c r="E58" s="20"/>
      <c r="F58" s="21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</row>
    <row r="59" spans="1:18" x14ac:dyDescent="0.2">
      <c r="A59" s="20"/>
      <c r="B59" s="20" t="s">
        <v>13</v>
      </c>
      <c r="C59" s="20"/>
      <c r="D59" s="20"/>
      <c r="E59" s="20"/>
      <c r="F59" s="21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</row>
    <row r="60" spans="1:18" x14ac:dyDescent="0.2">
      <c r="A60" s="20"/>
      <c r="B60" s="20"/>
      <c r="C60" s="20" t="s">
        <v>37</v>
      </c>
      <c r="D60" s="20"/>
      <c r="E60" s="20"/>
      <c r="F60" s="30">
        <f t="shared" ref="F60:F62" si="5">SUM(H60:L60)</f>
        <v>7196000</v>
      </c>
      <c r="G60" s="20"/>
      <c r="H60" s="25">
        <v>5635000</v>
      </c>
      <c r="I60" s="20"/>
      <c r="J60" s="25">
        <v>774000</v>
      </c>
      <c r="K60" s="20"/>
      <c r="L60" s="25">
        <v>787000</v>
      </c>
      <c r="M60" s="20"/>
      <c r="N60" s="25">
        <v>4524000</v>
      </c>
      <c r="O60" s="20"/>
      <c r="P60" s="25">
        <v>2672000</v>
      </c>
      <c r="Q60" s="20"/>
      <c r="R60" s="25">
        <v>0</v>
      </c>
    </row>
    <row r="61" spans="1:18" x14ac:dyDescent="0.2">
      <c r="A61" s="20"/>
      <c r="B61" s="20"/>
      <c r="C61" s="20" t="s">
        <v>38</v>
      </c>
      <c r="D61" s="20"/>
      <c r="E61" s="20"/>
      <c r="F61" s="30">
        <f t="shared" si="5"/>
        <v>18459000</v>
      </c>
      <c r="G61" s="20"/>
      <c r="H61" s="25">
        <v>15360000</v>
      </c>
      <c r="I61" s="20"/>
      <c r="J61" s="25">
        <v>1453000</v>
      </c>
      <c r="K61" s="20"/>
      <c r="L61" s="25">
        <v>1646000</v>
      </c>
      <c r="M61" s="20"/>
      <c r="N61" s="25">
        <v>11620000</v>
      </c>
      <c r="O61" s="20"/>
      <c r="P61" s="25">
        <v>6839000</v>
      </c>
      <c r="Q61" s="20"/>
      <c r="R61" s="25">
        <v>0</v>
      </c>
    </row>
    <row r="62" spans="1:18" x14ac:dyDescent="0.2">
      <c r="A62" s="20"/>
      <c r="B62" s="20"/>
      <c r="C62" s="20" t="s">
        <v>39</v>
      </c>
      <c r="D62" s="20"/>
      <c r="E62" s="20"/>
      <c r="F62" s="28">
        <f t="shared" si="5"/>
        <v>7103000</v>
      </c>
      <c r="G62" s="20"/>
      <c r="H62" s="27">
        <v>5076000</v>
      </c>
      <c r="I62" s="20"/>
      <c r="J62" s="27">
        <v>866000</v>
      </c>
      <c r="K62" s="20"/>
      <c r="L62" s="27">
        <v>1161000</v>
      </c>
      <c r="M62" s="20"/>
      <c r="N62" s="27">
        <v>3477000</v>
      </c>
      <c r="O62" s="20"/>
      <c r="P62" s="27">
        <v>3626000</v>
      </c>
      <c r="Q62" s="20"/>
      <c r="R62" s="27">
        <v>0</v>
      </c>
    </row>
    <row r="63" spans="1:18" x14ac:dyDescent="0.2">
      <c r="A63" s="20"/>
      <c r="B63" s="20"/>
      <c r="C63" s="20"/>
      <c r="D63" s="20"/>
      <c r="E63" s="20"/>
      <c r="F63" s="21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</row>
    <row r="64" spans="1:18" x14ac:dyDescent="0.2">
      <c r="A64" s="20"/>
      <c r="B64" s="20"/>
      <c r="C64" s="20"/>
      <c r="D64" s="20"/>
      <c r="E64" s="20" t="s">
        <v>3</v>
      </c>
      <c r="F64" s="28">
        <f>SUM(F60:F63)</f>
        <v>32758000</v>
      </c>
      <c r="G64" s="27">
        <f t="shared" ref="G64:R64" si="6">SUM(G60:G63)</f>
        <v>0</v>
      </c>
      <c r="H64" s="27">
        <f t="shared" si="6"/>
        <v>26071000</v>
      </c>
      <c r="I64" s="27">
        <f t="shared" si="6"/>
        <v>0</v>
      </c>
      <c r="J64" s="27">
        <f t="shared" si="6"/>
        <v>3093000</v>
      </c>
      <c r="K64" s="27">
        <f t="shared" si="6"/>
        <v>0</v>
      </c>
      <c r="L64" s="27">
        <f t="shared" si="6"/>
        <v>3594000</v>
      </c>
      <c r="M64" s="27">
        <f t="shared" si="6"/>
        <v>0</v>
      </c>
      <c r="N64" s="27">
        <f t="shared" si="6"/>
        <v>19621000</v>
      </c>
      <c r="O64" s="27">
        <f t="shared" si="6"/>
        <v>0</v>
      </c>
      <c r="P64" s="27">
        <f t="shared" si="6"/>
        <v>13137000</v>
      </c>
      <c r="Q64" s="27">
        <f t="shared" si="6"/>
        <v>0</v>
      </c>
      <c r="R64" s="27">
        <f t="shared" si="6"/>
        <v>0</v>
      </c>
    </row>
    <row r="65" spans="1:18" x14ac:dyDescent="0.2">
      <c r="A65" s="20"/>
      <c r="B65" s="20"/>
      <c r="C65" s="20"/>
      <c r="D65" s="20"/>
      <c r="E65" s="20"/>
      <c r="F65" s="21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</row>
    <row r="66" spans="1:18" x14ac:dyDescent="0.2">
      <c r="A66" s="20"/>
      <c r="B66" s="20" t="s">
        <v>24</v>
      </c>
      <c r="C66" s="20"/>
      <c r="D66" s="20"/>
      <c r="E66" s="20"/>
      <c r="F66" s="21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</row>
    <row r="67" spans="1:18" x14ac:dyDescent="0.2">
      <c r="A67" s="20"/>
      <c r="B67" s="20"/>
      <c r="C67" s="20" t="s">
        <v>37</v>
      </c>
      <c r="D67" s="20"/>
      <c r="E67" s="20"/>
      <c r="F67" s="31">
        <f>SUM(H67:L67)</f>
        <v>4985000</v>
      </c>
      <c r="G67" s="20"/>
      <c r="H67" s="25">
        <v>1000</v>
      </c>
      <c r="I67" s="20"/>
      <c r="J67" s="25">
        <v>24000</v>
      </c>
      <c r="K67" s="20"/>
      <c r="L67" s="25">
        <v>4960000</v>
      </c>
      <c r="M67" s="20"/>
      <c r="N67" s="25">
        <v>2461000</v>
      </c>
      <c r="O67" s="20"/>
      <c r="P67" s="25">
        <v>2524000</v>
      </c>
      <c r="Q67" s="20"/>
      <c r="R67" s="25">
        <v>0</v>
      </c>
    </row>
    <row r="68" spans="1:18" x14ac:dyDescent="0.2">
      <c r="A68" s="20"/>
      <c r="B68" s="20"/>
      <c r="C68" s="20" t="s">
        <v>38</v>
      </c>
      <c r="D68" s="20"/>
      <c r="E68" s="20"/>
      <c r="F68" s="31">
        <f t="shared" ref="F68:F69" si="7">SUM(H68:L68)</f>
        <v>22066000</v>
      </c>
      <c r="G68" s="20"/>
      <c r="H68" s="25">
        <v>311000</v>
      </c>
      <c r="I68" s="20"/>
      <c r="J68" s="25">
        <v>605000</v>
      </c>
      <c r="K68" s="20"/>
      <c r="L68" s="25">
        <v>21150000</v>
      </c>
      <c r="M68" s="20"/>
      <c r="N68" s="25">
        <v>9254000</v>
      </c>
      <c r="O68" s="20"/>
      <c r="P68" s="25">
        <v>12812000</v>
      </c>
      <c r="Q68" s="20"/>
      <c r="R68" s="25">
        <v>0</v>
      </c>
    </row>
    <row r="69" spans="1:18" x14ac:dyDescent="0.2">
      <c r="A69" s="20"/>
      <c r="B69" s="20"/>
      <c r="C69" s="20" t="s">
        <v>39</v>
      </c>
      <c r="D69" s="20"/>
      <c r="E69" s="20"/>
      <c r="F69" s="28">
        <f t="shared" si="7"/>
        <v>924000</v>
      </c>
      <c r="G69" s="20"/>
      <c r="H69" s="27">
        <v>0</v>
      </c>
      <c r="I69" s="20"/>
      <c r="J69" s="27">
        <v>-5000</v>
      </c>
      <c r="K69" s="20"/>
      <c r="L69" s="27">
        <v>929000</v>
      </c>
      <c r="M69" s="20"/>
      <c r="N69" s="27">
        <v>0</v>
      </c>
      <c r="O69" s="20"/>
      <c r="P69" s="27">
        <v>924000</v>
      </c>
      <c r="Q69" s="20"/>
      <c r="R69" s="27">
        <v>0</v>
      </c>
    </row>
    <row r="70" spans="1:18" x14ac:dyDescent="0.2">
      <c r="A70" s="20"/>
      <c r="B70" s="20"/>
      <c r="C70" s="20"/>
      <c r="D70" s="20"/>
      <c r="E70" s="20"/>
      <c r="F70" s="21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</row>
    <row r="71" spans="1:18" x14ac:dyDescent="0.2">
      <c r="A71" s="20"/>
      <c r="B71" s="20"/>
      <c r="C71" s="20"/>
      <c r="D71" s="20"/>
      <c r="E71" s="20" t="s">
        <v>3</v>
      </c>
      <c r="F71" s="28">
        <f>SUM(F67:F70)</f>
        <v>27975000</v>
      </c>
      <c r="G71" s="27">
        <f t="shared" ref="G71:R71" si="8">SUM(G67:G70)</f>
        <v>0</v>
      </c>
      <c r="H71" s="27">
        <f t="shared" si="8"/>
        <v>312000</v>
      </c>
      <c r="I71" s="27">
        <f t="shared" si="8"/>
        <v>0</v>
      </c>
      <c r="J71" s="27">
        <f t="shared" si="8"/>
        <v>624000</v>
      </c>
      <c r="K71" s="27">
        <f t="shared" si="8"/>
        <v>0</v>
      </c>
      <c r="L71" s="27">
        <f t="shared" si="8"/>
        <v>27039000</v>
      </c>
      <c r="M71" s="27">
        <f t="shared" si="8"/>
        <v>0</v>
      </c>
      <c r="N71" s="27">
        <f t="shared" si="8"/>
        <v>11715000</v>
      </c>
      <c r="O71" s="27">
        <f t="shared" si="8"/>
        <v>0</v>
      </c>
      <c r="P71" s="27">
        <f t="shared" si="8"/>
        <v>16260000</v>
      </c>
      <c r="Q71" s="27">
        <f t="shared" si="8"/>
        <v>0</v>
      </c>
      <c r="R71" s="27">
        <f t="shared" si="8"/>
        <v>0</v>
      </c>
    </row>
    <row r="72" spans="1:18" x14ac:dyDescent="0.2">
      <c r="A72" s="20"/>
      <c r="B72" s="20"/>
      <c r="C72" s="20"/>
      <c r="D72" s="20"/>
      <c r="E72" s="20"/>
      <c r="F72" s="21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</row>
    <row r="73" spans="1:18" x14ac:dyDescent="0.2">
      <c r="A73" s="20"/>
      <c r="B73" s="20" t="s">
        <v>28</v>
      </c>
      <c r="C73" s="20"/>
      <c r="D73" s="20"/>
      <c r="E73" s="20"/>
      <c r="F73" s="28">
        <f>SUM(H73:L73)</f>
        <v>0</v>
      </c>
      <c r="G73" s="20"/>
      <c r="H73" s="27">
        <v>0</v>
      </c>
      <c r="I73" s="20"/>
      <c r="J73" s="27">
        <v>0</v>
      </c>
      <c r="K73" s="20"/>
      <c r="L73" s="27">
        <v>0</v>
      </c>
      <c r="M73" s="20"/>
      <c r="N73" s="27">
        <v>0</v>
      </c>
      <c r="O73" s="20"/>
      <c r="P73" s="27">
        <v>0</v>
      </c>
      <c r="Q73" s="20"/>
      <c r="R73" s="27">
        <v>0</v>
      </c>
    </row>
    <row r="74" spans="1:18" x14ac:dyDescent="0.2">
      <c r="A74" s="20"/>
      <c r="B74" s="20"/>
      <c r="C74" s="20"/>
      <c r="D74" s="20"/>
      <c r="E74" s="20"/>
      <c r="F74" s="21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</row>
    <row r="75" spans="1:18" x14ac:dyDescent="0.2">
      <c r="A75" s="20"/>
      <c r="B75" s="20" t="s">
        <v>29</v>
      </c>
      <c r="C75" s="20"/>
      <c r="D75" s="20"/>
      <c r="E75" s="20"/>
      <c r="F75" s="28">
        <f>SUM(H75:L75)</f>
        <v>291000</v>
      </c>
      <c r="G75" s="20"/>
      <c r="H75" s="27">
        <v>-14000</v>
      </c>
      <c r="I75" s="20"/>
      <c r="J75" s="27">
        <v>304000</v>
      </c>
      <c r="K75" s="20"/>
      <c r="L75" s="27">
        <v>1000</v>
      </c>
      <c r="M75" s="20"/>
      <c r="N75" s="27">
        <v>2262000</v>
      </c>
      <c r="O75" s="20"/>
      <c r="P75" s="27">
        <v>2031000</v>
      </c>
      <c r="Q75" s="20"/>
      <c r="R75" s="27">
        <v>4002000</v>
      </c>
    </row>
    <row r="76" spans="1:18" x14ac:dyDescent="0.2">
      <c r="A76" s="20"/>
      <c r="B76" s="20"/>
      <c r="C76" s="20"/>
      <c r="D76" s="20"/>
      <c r="E76" s="20"/>
      <c r="F76" s="21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</row>
    <row r="77" spans="1:18" x14ac:dyDescent="0.2">
      <c r="A77" s="20"/>
      <c r="B77" s="20"/>
      <c r="C77" s="20"/>
      <c r="D77" s="20"/>
      <c r="E77" s="20" t="s">
        <v>40</v>
      </c>
      <c r="F77" s="28">
        <f>F64+F71+F73+F75</f>
        <v>61024000</v>
      </c>
      <c r="G77" s="27">
        <f t="shared" ref="G77:R77" si="9">G64+G71+G73+G75</f>
        <v>0</v>
      </c>
      <c r="H77" s="27">
        <f t="shared" si="9"/>
        <v>26369000</v>
      </c>
      <c r="I77" s="27">
        <f t="shared" si="9"/>
        <v>0</v>
      </c>
      <c r="J77" s="27">
        <f t="shared" si="9"/>
        <v>4021000</v>
      </c>
      <c r="K77" s="27">
        <f t="shared" si="9"/>
        <v>0</v>
      </c>
      <c r="L77" s="27">
        <f t="shared" si="9"/>
        <v>30634000</v>
      </c>
      <c r="M77" s="27">
        <f t="shared" si="9"/>
        <v>0</v>
      </c>
      <c r="N77" s="27">
        <f t="shared" si="9"/>
        <v>33598000</v>
      </c>
      <c r="O77" s="27">
        <f t="shared" si="9"/>
        <v>0</v>
      </c>
      <c r="P77" s="27">
        <f t="shared" si="9"/>
        <v>31428000</v>
      </c>
      <c r="Q77" s="27">
        <f t="shared" si="9"/>
        <v>0</v>
      </c>
      <c r="R77" s="27">
        <f t="shared" si="9"/>
        <v>4002000</v>
      </c>
    </row>
    <row r="78" spans="1:18" x14ac:dyDescent="0.2">
      <c r="A78" s="20"/>
      <c r="B78" s="20"/>
      <c r="C78" s="20"/>
      <c r="D78" s="20"/>
      <c r="E78" s="20"/>
      <c r="F78" s="21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 spans="1:18" x14ac:dyDescent="0.2">
      <c r="A79" s="22" t="s">
        <v>41</v>
      </c>
      <c r="B79" s="20"/>
      <c r="C79" s="20"/>
      <c r="D79" s="20"/>
      <c r="E79" s="20"/>
      <c r="F79" s="21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 spans="1:18" x14ac:dyDescent="0.2">
      <c r="A80" s="20"/>
      <c r="B80" s="20"/>
      <c r="C80" s="20"/>
      <c r="D80" s="20"/>
      <c r="E80" s="20"/>
      <c r="F80" s="21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 spans="1:18" x14ac:dyDescent="0.2">
      <c r="A81" s="20"/>
      <c r="B81" s="20" t="s">
        <v>13</v>
      </c>
      <c r="C81" s="20"/>
      <c r="D81" s="20"/>
      <c r="E81" s="20"/>
      <c r="F81" s="28">
        <f>SUM(H81:L81)</f>
        <v>14193000</v>
      </c>
      <c r="G81" s="20"/>
      <c r="H81" s="27">
        <v>12053000</v>
      </c>
      <c r="I81" s="20"/>
      <c r="J81" s="27">
        <v>1265000</v>
      </c>
      <c r="K81" s="20"/>
      <c r="L81" s="27">
        <v>875000</v>
      </c>
      <c r="M81" s="20"/>
      <c r="N81" s="27">
        <v>9441000</v>
      </c>
      <c r="O81" s="20"/>
      <c r="P81" s="27">
        <v>4752000</v>
      </c>
      <c r="Q81" s="20"/>
      <c r="R81" s="27">
        <v>0</v>
      </c>
    </row>
    <row r="82" spans="1:18" x14ac:dyDescent="0.2">
      <c r="A82" s="20"/>
      <c r="B82" s="20"/>
      <c r="C82" s="20"/>
      <c r="D82" s="20"/>
      <c r="E82" s="20"/>
      <c r="F82" s="21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</row>
    <row r="83" spans="1:18" x14ac:dyDescent="0.2">
      <c r="A83" s="20"/>
      <c r="B83" s="20" t="s">
        <v>24</v>
      </c>
      <c r="C83" s="20"/>
      <c r="D83" s="20"/>
      <c r="E83" s="20"/>
      <c r="F83" s="28">
        <f>SUM(H83:L83)</f>
        <v>7780000</v>
      </c>
      <c r="G83" s="20"/>
      <c r="H83" s="27">
        <v>23000</v>
      </c>
      <c r="I83" s="20"/>
      <c r="J83" s="27">
        <v>366000</v>
      </c>
      <c r="K83" s="20"/>
      <c r="L83" s="27">
        <v>7391000</v>
      </c>
      <c r="M83" s="20"/>
      <c r="N83" s="27">
        <v>3612000</v>
      </c>
      <c r="O83" s="20"/>
      <c r="P83" s="27">
        <v>4168000</v>
      </c>
      <c r="Q83" s="20"/>
      <c r="R83" s="27">
        <v>0</v>
      </c>
    </row>
    <row r="84" spans="1:18" x14ac:dyDescent="0.2">
      <c r="A84" s="20"/>
      <c r="B84" s="20"/>
      <c r="C84" s="20"/>
      <c r="D84" s="20"/>
      <c r="E84" s="20"/>
      <c r="F84" s="21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</row>
    <row r="85" spans="1:18" x14ac:dyDescent="0.2">
      <c r="A85" s="20"/>
      <c r="B85" s="20" t="s">
        <v>28</v>
      </c>
      <c r="C85" s="20"/>
      <c r="D85" s="20"/>
      <c r="E85" s="20"/>
      <c r="F85" s="28">
        <f>SUM(H85:L85)</f>
        <v>3795000</v>
      </c>
      <c r="G85" s="20"/>
      <c r="H85" s="27">
        <v>649000</v>
      </c>
      <c r="I85" s="20"/>
      <c r="J85" s="27">
        <v>2496000</v>
      </c>
      <c r="K85" s="20"/>
      <c r="L85" s="27">
        <v>650000</v>
      </c>
      <c r="M85" s="20"/>
      <c r="N85" s="27">
        <v>2291000</v>
      </c>
      <c r="O85" s="20"/>
      <c r="P85" s="27">
        <v>1504000</v>
      </c>
      <c r="Q85" s="20"/>
      <c r="R85" s="27">
        <v>0</v>
      </c>
    </row>
    <row r="86" spans="1:18" x14ac:dyDescent="0.2">
      <c r="A86" s="20"/>
      <c r="B86" s="20"/>
      <c r="C86" s="20"/>
      <c r="D86" s="20"/>
      <c r="E86" s="20"/>
      <c r="F86" s="21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</row>
    <row r="87" spans="1:18" x14ac:dyDescent="0.2">
      <c r="A87" s="20"/>
      <c r="B87" s="20" t="s">
        <v>29</v>
      </c>
      <c r="C87" s="20"/>
      <c r="D87" s="20"/>
      <c r="E87" s="20"/>
      <c r="F87" s="28">
        <f>SUM(H87:L87)</f>
        <v>71000</v>
      </c>
      <c r="G87" s="20"/>
      <c r="H87" s="27">
        <v>70000</v>
      </c>
      <c r="I87" s="20"/>
      <c r="J87" s="27">
        <v>0</v>
      </c>
      <c r="K87" s="20"/>
      <c r="L87" s="27">
        <v>1000</v>
      </c>
      <c r="M87" s="20"/>
      <c r="N87" s="27">
        <v>47000</v>
      </c>
      <c r="O87" s="20"/>
      <c r="P87" s="27">
        <v>24000</v>
      </c>
      <c r="Q87" s="20"/>
      <c r="R87" s="27">
        <v>0</v>
      </c>
    </row>
    <row r="88" spans="1:18" x14ac:dyDescent="0.2">
      <c r="A88" s="20"/>
      <c r="B88" s="20"/>
      <c r="C88" s="20"/>
      <c r="D88" s="20"/>
      <c r="E88" s="20"/>
      <c r="F88" s="21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</row>
    <row r="89" spans="1:18" x14ac:dyDescent="0.2">
      <c r="A89" s="20"/>
      <c r="B89" s="20"/>
      <c r="C89" s="20"/>
      <c r="D89" s="20"/>
      <c r="E89" s="20" t="s">
        <v>42</v>
      </c>
      <c r="F89" s="28">
        <f>F81+F83+F85+F87</f>
        <v>25839000</v>
      </c>
      <c r="G89" s="27">
        <f t="shared" ref="G89:R89" si="10">G81+G83+G85+G87</f>
        <v>0</v>
      </c>
      <c r="H89" s="27">
        <f t="shared" si="10"/>
        <v>12795000</v>
      </c>
      <c r="I89" s="27">
        <f t="shared" si="10"/>
        <v>0</v>
      </c>
      <c r="J89" s="27">
        <f t="shared" si="10"/>
        <v>4127000</v>
      </c>
      <c r="K89" s="27">
        <f t="shared" si="10"/>
        <v>0</v>
      </c>
      <c r="L89" s="27">
        <f t="shared" si="10"/>
        <v>8917000</v>
      </c>
      <c r="M89" s="27">
        <f t="shared" si="10"/>
        <v>0</v>
      </c>
      <c r="N89" s="27">
        <f t="shared" si="10"/>
        <v>15391000</v>
      </c>
      <c r="O89" s="27">
        <f t="shared" si="10"/>
        <v>0</v>
      </c>
      <c r="P89" s="27">
        <f t="shared" si="10"/>
        <v>10448000</v>
      </c>
      <c r="Q89" s="27">
        <f t="shared" si="10"/>
        <v>0</v>
      </c>
      <c r="R89" s="27">
        <f t="shared" si="10"/>
        <v>0</v>
      </c>
    </row>
    <row r="90" spans="1:18" x14ac:dyDescent="0.2">
      <c r="A90" s="20"/>
      <c r="B90" s="20"/>
      <c r="C90" s="20"/>
      <c r="D90" s="20"/>
      <c r="E90" s="20"/>
      <c r="F90" s="21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 spans="1:18" x14ac:dyDescent="0.2">
      <c r="A91" s="22" t="s">
        <v>43</v>
      </c>
      <c r="B91" s="20"/>
      <c r="C91" s="20"/>
      <c r="D91" s="20"/>
      <c r="E91" s="20"/>
      <c r="F91" s="21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</row>
    <row r="92" spans="1:18" x14ac:dyDescent="0.2">
      <c r="A92" s="20"/>
      <c r="B92" s="20"/>
      <c r="C92" s="20"/>
      <c r="D92" s="20"/>
      <c r="E92" s="20"/>
      <c r="F92" s="21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</row>
    <row r="93" spans="1:18" x14ac:dyDescent="0.2">
      <c r="A93" s="20"/>
      <c r="B93" s="20" t="s">
        <v>13</v>
      </c>
      <c r="C93" s="20"/>
      <c r="D93" s="20"/>
      <c r="E93" s="20"/>
      <c r="F93" s="21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</row>
    <row r="94" spans="1:18" x14ac:dyDescent="0.2">
      <c r="A94" s="20"/>
      <c r="B94" s="20"/>
      <c r="C94" s="20" t="s">
        <v>44</v>
      </c>
      <c r="D94" s="20"/>
      <c r="E94" s="20"/>
      <c r="F94" s="31">
        <f>SUM(H94:L94)</f>
        <v>6870000</v>
      </c>
      <c r="G94" s="20"/>
      <c r="H94" s="25">
        <v>5470000</v>
      </c>
      <c r="I94" s="20"/>
      <c r="J94" s="25">
        <v>1002000</v>
      </c>
      <c r="K94" s="20"/>
      <c r="L94" s="25">
        <v>398000</v>
      </c>
      <c r="M94" s="20"/>
      <c r="N94" s="25">
        <v>4322000</v>
      </c>
      <c r="O94" s="20"/>
      <c r="P94" s="25">
        <v>2548000</v>
      </c>
      <c r="Q94" s="20"/>
      <c r="R94" s="25">
        <v>0</v>
      </c>
    </row>
    <row r="95" spans="1:18" x14ac:dyDescent="0.2">
      <c r="A95" s="20"/>
      <c r="B95" s="20"/>
      <c r="C95" s="20" t="s">
        <v>45</v>
      </c>
      <c r="D95" s="20"/>
      <c r="E95" s="20"/>
      <c r="F95" s="31">
        <f t="shared" ref="F95:F106" si="11">SUM(H95:L95)</f>
        <v>15165000</v>
      </c>
      <c r="G95" s="20"/>
      <c r="H95" s="25">
        <v>11640000</v>
      </c>
      <c r="I95" s="20"/>
      <c r="J95" s="25">
        <v>2415000</v>
      </c>
      <c r="K95" s="20"/>
      <c r="L95" s="25">
        <v>1110000</v>
      </c>
      <c r="M95" s="20"/>
      <c r="N95" s="25">
        <v>9484000</v>
      </c>
      <c r="O95" s="20"/>
      <c r="P95" s="25">
        <v>5681000</v>
      </c>
      <c r="Q95" s="20"/>
      <c r="R95" s="25">
        <v>0</v>
      </c>
    </row>
    <row r="96" spans="1:18" x14ac:dyDescent="0.2">
      <c r="A96" s="20"/>
      <c r="B96" s="20"/>
      <c r="C96" s="20" t="s">
        <v>39</v>
      </c>
      <c r="D96" s="20"/>
      <c r="E96" s="20"/>
      <c r="F96" s="31">
        <f t="shared" si="11"/>
        <v>14212000</v>
      </c>
      <c r="G96" s="20"/>
      <c r="H96" s="25">
        <v>5239000</v>
      </c>
      <c r="I96" s="20"/>
      <c r="J96" s="25">
        <v>4731000</v>
      </c>
      <c r="K96" s="20"/>
      <c r="L96" s="25">
        <v>4242000</v>
      </c>
      <c r="M96" s="20"/>
      <c r="N96" s="25">
        <v>7768000</v>
      </c>
      <c r="O96" s="20"/>
      <c r="P96" s="25">
        <v>6500000</v>
      </c>
      <c r="Q96" s="20"/>
      <c r="R96" s="25">
        <v>56000</v>
      </c>
    </row>
    <row r="97" spans="1:18" x14ac:dyDescent="0.2">
      <c r="A97" s="20"/>
      <c r="B97" s="20"/>
      <c r="C97" s="20" t="s">
        <v>46</v>
      </c>
      <c r="D97" s="20"/>
      <c r="E97" s="20"/>
      <c r="F97" s="31">
        <f t="shared" si="11"/>
        <v>-25000</v>
      </c>
      <c r="G97" s="20"/>
      <c r="H97" s="25">
        <v>0</v>
      </c>
      <c r="I97" s="20"/>
      <c r="J97" s="25">
        <v>0</v>
      </c>
      <c r="K97" s="20"/>
      <c r="L97" s="25">
        <v>-25000</v>
      </c>
      <c r="M97" s="20"/>
      <c r="N97" s="25">
        <v>-10000</v>
      </c>
      <c r="O97" s="20"/>
      <c r="P97" s="25">
        <v>-15000</v>
      </c>
      <c r="Q97" s="20"/>
      <c r="R97" s="25">
        <v>0</v>
      </c>
    </row>
    <row r="98" spans="1:18" x14ac:dyDescent="0.2">
      <c r="A98" s="20"/>
      <c r="B98" s="20"/>
      <c r="C98" s="20" t="s">
        <v>47</v>
      </c>
      <c r="D98" s="20"/>
      <c r="E98" s="20"/>
      <c r="F98" s="31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</row>
    <row r="99" spans="1:18" x14ac:dyDescent="0.2">
      <c r="A99" s="20"/>
      <c r="B99" s="20"/>
      <c r="C99" s="20"/>
      <c r="D99" s="20"/>
      <c r="E99" s="20" t="s">
        <v>48</v>
      </c>
      <c r="F99" s="31">
        <f t="shared" si="11"/>
        <v>37077000</v>
      </c>
      <c r="G99" s="20"/>
      <c r="H99" s="25">
        <v>28005000</v>
      </c>
      <c r="I99" s="20"/>
      <c r="J99" s="25">
        <v>5028000</v>
      </c>
      <c r="K99" s="20"/>
      <c r="L99" s="25">
        <v>4044000</v>
      </c>
      <c r="M99" s="20"/>
      <c r="N99" s="25">
        <v>24090000</v>
      </c>
      <c r="O99" s="20"/>
      <c r="P99" s="25">
        <v>12987000</v>
      </c>
      <c r="Q99" s="20"/>
      <c r="R99" s="25">
        <v>0</v>
      </c>
    </row>
    <row r="100" spans="1:18" x14ac:dyDescent="0.2">
      <c r="A100" s="20"/>
      <c r="B100" s="20"/>
      <c r="C100" s="20" t="s">
        <v>49</v>
      </c>
      <c r="D100" s="20"/>
      <c r="E100" s="20"/>
      <c r="F100" s="31">
        <f t="shared" si="11"/>
        <v>88000</v>
      </c>
      <c r="G100" s="20"/>
      <c r="H100" s="25">
        <v>0</v>
      </c>
      <c r="I100" s="20"/>
      <c r="J100" s="25">
        <v>39000</v>
      </c>
      <c r="K100" s="20"/>
      <c r="L100" s="25">
        <v>49000</v>
      </c>
      <c r="M100" s="20"/>
      <c r="N100" s="25">
        <v>17000</v>
      </c>
      <c r="O100" s="20"/>
      <c r="P100" s="25">
        <v>71000</v>
      </c>
      <c r="Q100" s="20"/>
      <c r="R100" s="25">
        <v>0</v>
      </c>
    </row>
    <row r="101" spans="1:18" x14ac:dyDescent="0.2">
      <c r="A101" s="20"/>
      <c r="B101" s="20"/>
      <c r="C101" s="20" t="s">
        <v>50</v>
      </c>
      <c r="D101" s="20"/>
      <c r="E101" s="20"/>
      <c r="F101" s="31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 spans="1:18" x14ac:dyDescent="0.2">
      <c r="A102" s="20"/>
      <c r="B102" s="20"/>
      <c r="C102" s="20"/>
      <c r="D102" s="20"/>
      <c r="E102" s="20" t="s">
        <v>51</v>
      </c>
      <c r="F102" s="31">
        <f t="shared" si="11"/>
        <v>7050000</v>
      </c>
      <c r="G102" s="20"/>
      <c r="H102" s="25">
        <v>4779000</v>
      </c>
      <c r="I102" s="20"/>
      <c r="J102" s="25">
        <v>995000</v>
      </c>
      <c r="K102" s="20"/>
      <c r="L102" s="25">
        <v>1276000</v>
      </c>
      <c r="M102" s="20"/>
      <c r="N102" s="25">
        <v>4472000</v>
      </c>
      <c r="O102" s="20"/>
      <c r="P102" s="25">
        <v>2578000</v>
      </c>
      <c r="Q102" s="20"/>
      <c r="R102" s="25">
        <v>0</v>
      </c>
    </row>
    <row r="103" spans="1:18" x14ac:dyDescent="0.2">
      <c r="A103" s="20"/>
      <c r="B103" s="20"/>
      <c r="C103" s="20" t="s">
        <v>52</v>
      </c>
      <c r="D103" s="20"/>
      <c r="E103" s="20"/>
      <c r="F103" s="31">
        <f t="shared" si="11"/>
        <v>0</v>
      </c>
      <c r="G103" s="20"/>
      <c r="H103" s="25">
        <v>0</v>
      </c>
      <c r="I103" s="20"/>
      <c r="J103" s="25">
        <v>0</v>
      </c>
      <c r="K103" s="20"/>
      <c r="L103" s="25">
        <v>0</v>
      </c>
      <c r="M103" s="20"/>
      <c r="N103" s="25">
        <v>0</v>
      </c>
      <c r="O103" s="20"/>
      <c r="P103" s="25">
        <v>0</v>
      </c>
      <c r="Q103" s="20"/>
      <c r="R103" s="25">
        <v>0</v>
      </c>
    </row>
    <row r="104" spans="1:18" x14ac:dyDescent="0.2">
      <c r="A104" s="20"/>
      <c r="B104" s="20"/>
      <c r="C104" s="20" t="s">
        <v>53</v>
      </c>
      <c r="D104" s="20"/>
      <c r="E104" s="20"/>
      <c r="F104" s="31">
        <f t="shared" si="11"/>
        <v>4382000</v>
      </c>
      <c r="G104" s="20"/>
      <c r="H104" s="25">
        <v>3784000</v>
      </c>
      <c r="I104" s="20"/>
      <c r="J104" s="25">
        <v>348000</v>
      </c>
      <c r="K104" s="20"/>
      <c r="L104" s="25">
        <v>250000</v>
      </c>
      <c r="M104" s="20"/>
      <c r="N104" s="25">
        <v>2645000</v>
      </c>
      <c r="O104" s="20"/>
      <c r="P104" s="25">
        <v>1737000</v>
      </c>
      <c r="Q104" s="20"/>
      <c r="R104" s="25">
        <v>0</v>
      </c>
    </row>
    <row r="105" spans="1:18" x14ac:dyDescent="0.2">
      <c r="A105" s="20"/>
      <c r="B105" s="20"/>
      <c r="C105" s="20" t="s">
        <v>54</v>
      </c>
      <c r="D105" s="20"/>
      <c r="E105" s="20"/>
      <c r="F105" s="31">
        <f t="shared" si="11"/>
        <v>17708000</v>
      </c>
      <c r="G105" s="20"/>
      <c r="H105" s="25">
        <v>13057000</v>
      </c>
      <c r="I105" s="20"/>
      <c r="J105" s="25">
        <v>1785000</v>
      </c>
      <c r="K105" s="20"/>
      <c r="L105" s="25">
        <v>2866000</v>
      </c>
      <c r="M105" s="20"/>
      <c r="N105" s="25">
        <v>10899000</v>
      </c>
      <c r="O105" s="20"/>
      <c r="P105" s="25">
        <v>6920000</v>
      </c>
      <c r="Q105" s="20"/>
      <c r="R105" s="25">
        <v>111000</v>
      </c>
    </row>
    <row r="106" spans="1:18" x14ac:dyDescent="0.2">
      <c r="A106" s="20"/>
      <c r="B106" s="20"/>
      <c r="C106" s="20" t="s">
        <v>55</v>
      </c>
      <c r="D106" s="20"/>
      <c r="E106" s="20"/>
      <c r="F106" s="28">
        <f t="shared" si="11"/>
        <v>2508000</v>
      </c>
      <c r="G106" s="20"/>
      <c r="H106" s="27">
        <v>1960000</v>
      </c>
      <c r="I106" s="20"/>
      <c r="J106" s="27">
        <v>345000</v>
      </c>
      <c r="K106" s="20"/>
      <c r="L106" s="27">
        <v>203000</v>
      </c>
      <c r="M106" s="20"/>
      <c r="N106" s="27">
        <v>1586000</v>
      </c>
      <c r="O106" s="20"/>
      <c r="P106" s="27">
        <v>930000</v>
      </c>
      <c r="Q106" s="20"/>
      <c r="R106" s="27">
        <v>8000</v>
      </c>
    </row>
    <row r="107" spans="1:18" x14ac:dyDescent="0.2">
      <c r="A107" s="20"/>
      <c r="B107" s="20"/>
      <c r="C107" s="20"/>
      <c r="D107" s="20"/>
      <c r="E107" s="20"/>
      <c r="F107" s="21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</row>
    <row r="108" spans="1:18" x14ac:dyDescent="0.2">
      <c r="A108" s="20"/>
      <c r="B108" s="20"/>
      <c r="C108" s="20"/>
      <c r="D108" s="20"/>
      <c r="E108" s="20" t="s">
        <v>3</v>
      </c>
      <c r="F108" s="28">
        <f>SUM(F94:F107)</f>
        <v>105035000</v>
      </c>
      <c r="G108" s="27">
        <f t="shared" ref="G108:R108" si="12">SUM(G94:G107)</f>
        <v>0</v>
      </c>
      <c r="H108" s="27">
        <f t="shared" si="12"/>
        <v>73934000</v>
      </c>
      <c r="I108" s="27">
        <f t="shared" si="12"/>
        <v>0</v>
      </c>
      <c r="J108" s="27">
        <f t="shared" si="12"/>
        <v>16688000</v>
      </c>
      <c r="K108" s="27">
        <f t="shared" si="12"/>
        <v>0</v>
      </c>
      <c r="L108" s="27">
        <f t="shared" si="12"/>
        <v>14413000</v>
      </c>
      <c r="M108" s="27">
        <f t="shared" si="12"/>
        <v>0</v>
      </c>
      <c r="N108" s="27">
        <f t="shared" si="12"/>
        <v>65273000</v>
      </c>
      <c r="O108" s="27">
        <f t="shared" si="12"/>
        <v>0</v>
      </c>
      <c r="P108" s="27">
        <f t="shared" si="12"/>
        <v>39937000</v>
      </c>
      <c r="Q108" s="27">
        <f t="shared" si="12"/>
        <v>0</v>
      </c>
      <c r="R108" s="27">
        <f t="shared" si="12"/>
        <v>175000</v>
      </c>
    </row>
    <row r="109" spans="1:18" x14ac:dyDescent="0.2">
      <c r="A109" s="20"/>
      <c r="B109" s="20"/>
      <c r="C109" s="20"/>
      <c r="D109" s="20"/>
      <c r="E109" s="20"/>
      <c r="F109" s="21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</row>
    <row r="110" spans="1:18" x14ac:dyDescent="0.2">
      <c r="A110" s="20"/>
      <c r="B110" s="20" t="s">
        <v>24</v>
      </c>
      <c r="C110" s="20"/>
      <c r="D110" s="20"/>
      <c r="E110" s="20"/>
      <c r="F110" s="21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</row>
    <row r="111" spans="1:18" x14ac:dyDescent="0.2">
      <c r="A111" s="20"/>
      <c r="B111" s="20"/>
      <c r="C111" s="20" t="s">
        <v>44</v>
      </c>
      <c r="D111" s="20"/>
      <c r="E111" s="20"/>
      <c r="F111" s="31">
        <f t="shared" ref="F111:F124" si="13">SUM(H111:L111)</f>
        <v>181000</v>
      </c>
      <c r="G111" s="20"/>
      <c r="H111" s="25">
        <v>125000</v>
      </c>
      <c r="I111" s="20"/>
      <c r="J111" s="25">
        <v>10000</v>
      </c>
      <c r="K111" s="20"/>
      <c r="L111" s="25">
        <v>46000</v>
      </c>
      <c r="M111" s="20"/>
      <c r="N111" s="25">
        <v>138000</v>
      </c>
      <c r="O111" s="20"/>
      <c r="P111" s="25">
        <v>43000</v>
      </c>
      <c r="Q111" s="20"/>
      <c r="R111" s="25">
        <v>0</v>
      </c>
    </row>
    <row r="112" spans="1:18" x14ac:dyDescent="0.2">
      <c r="A112" s="20"/>
      <c r="B112" s="20"/>
      <c r="C112" s="20" t="s">
        <v>45</v>
      </c>
      <c r="D112" s="20"/>
      <c r="E112" s="20"/>
      <c r="F112" s="31">
        <f t="shared" si="13"/>
        <v>10000</v>
      </c>
      <c r="G112" s="20"/>
      <c r="H112" s="25">
        <v>-1000</v>
      </c>
      <c r="I112" s="20"/>
      <c r="J112" s="25">
        <v>1000</v>
      </c>
      <c r="K112" s="20"/>
      <c r="L112" s="25">
        <v>10000</v>
      </c>
      <c r="M112" s="20"/>
      <c r="N112" s="25">
        <v>1000</v>
      </c>
      <c r="O112" s="20"/>
      <c r="P112" s="25">
        <v>9000</v>
      </c>
      <c r="Q112" s="20"/>
      <c r="R112" s="25">
        <v>0</v>
      </c>
    </row>
    <row r="113" spans="1:18" x14ac:dyDescent="0.2">
      <c r="A113" s="20"/>
      <c r="B113" s="20"/>
      <c r="C113" s="20" t="s">
        <v>39</v>
      </c>
      <c r="D113" s="20"/>
      <c r="E113" s="20"/>
      <c r="F113" s="31">
        <f t="shared" si="13"/>
        <v>612000</v>
      </c>
      <c r="G113" s="20"/>
      <c r="H113" s="25">
        <v>228000</v>
      </c>
      <c r="I113" s="20"/>
      <c r="J113" s="25">
        <v>96000</v>
      </c>
      <c r="K113" s="20"/>
      <c r="L113" s="25">
        <v>288000</v>
      </c>
      <c r="M113" s="20"/>
      <c r="N113" s="25">
        <v>387000</v>
      </c>
      <c r="O113" s="20"/>
      <c r="P113" s="25">
        <v>225000</v>
      </c>
      <c r="Q113" s="20"/>
      <c r="R113" s="25">
        <v>0</v>
      </c>
    </row>
    <row r="114" spans="1:18" x14ac:dyDescent="0.2">
      <c r="A114" s="20"/>
      <c r="B114" s="20"/>
      <c r="C114" s="20" t="s">
        <v>56</v>
      </c>
      <c r="D114" s="20"/>
      <c r="E114" s="20"/>
      <c r="F114" s="31">
        <f t="shared" si="13"/>
        <v>4151000</v>
      </c>
      <c r="G114" s="20"/>
      <c r="H114" s="25">
        <v>428000</v>
      </c>
      <c r="I114" s="20"/>
      <c r="J114" s="25">
        <v>55000</v>
      </c>
      <c r="K114" s="20"/>
      <c r="L114" s="25">
        <v>3668000</v>
      </c>
      <c r="M114" s="20"/>
      <c r="N114" s="25">
        <v>1665000</v>
      </c>
      <c r="O114" s="20"/>
      <c r="P114" s="25">
        <v>2486000</v>
      </c>
      <c r="Q114" s="20"/>
      <c r="R114" s="25">
        <v>0</v>
      </c>
    </row>
    <row r="115" spans="1:18" x14ac:dyDescent="0.2">
      <c r="A115" s="20"/>
      <c r="B115" s="20"/>
      <c r="C115" s="20" t="s">
        <v>47</v>
      </c>
      <c r="D115" s="20"/>
      <c r="E115" s="20"/>
      <c r="F115" s="31">
        <f t="shared" si="13"/>
        <v>0</v>
      </c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</row>
    <row r="116" spans="1:18" x14ac:dyDescent="0.2">
      <c r="A116" s="20"/>
      <c r="B116" s="20"/>
      <c r="C116" s="20"/>
      <c r="D116" s="20"/>
      <c r="E116" s="20" t="s">
        <v>48</v>
      </c>
      <c r="F116" s="31">
        <f t="shared" si="13"/>
        <v>37000</v>
      </c>
      <c r="G116" s="20"/>
      <c r="H116" s="25">
        <v>12000</v>
      </c>
      <c r="I116" s="20"/>
      <c r="J116" s="25">
        <v>22000</v>
      </c>
      <c r="K116" s="20"/>
      <c r="L116" s="25">
        <v>3000</v>
      </c>
      <c r="M116" s="20"/>
      <c r="N116" s="25">
        <v>9000</v>
      </c>
      <c r="O116" s="20"/>
      <c r="P116" s="25">
        <v>28000</v>
      </c>
      <c r="Q116" s="20"/>
      <c r="R116" s="25">
        <v>0</v>
      </c>
    </row>
    <row r="117" spans="1:18" x14ac:dyDescent="0.2">
      <c r="A117" s="20"/>
      <c r="B117" s="20"/>
      <c r="C117" s="20" t="s">
        <v>49</v>
      </c>
      <c r="D117" s="20"/>
      <c r="E117" s="20"/>
      <c r="F117" s="31">
        <f t="shared" si="13"/>
        <v>108670000</v>
      </c>
      <c r="G117" s="20"/>
      <c r="H117" s="25">
        <v>523000</v>
      </c>
      <c r="I117" s="20"/>
      <c r="J117" s="25">
        <v>2579000</v>
      </c>
      <c r="K117" s="20"/>
      <c r="L117" s="25">
        <v>105568000</v>
      </c>
      <c r="M117" s="20"/>
      <c r="N117" s="25">
        <v>49902000</v>
      </c>
      <c r="O117" s="20"/>
      <c r="P117" s="25">
        <v>58768000</v>
      </c>
      <c r="Q117" s="20"/>
      <c r="R117" s="25">
        <v>0</v>
      </c>
    </row>
    <row r="118" spans="1:18" x14ac:dyDescent="0.2">
      <c r="A118" s="20"/>
      <c r="B118" s="20"/>
      <c r="C118" s="20" t="s">
        <v>50</v>
      </c>
      <c r="D118" s="20"/>
      <c r="E118" s="20"/>
      <c r="F118" s="31">
        <f t="shared" si="13"/>
        <v>0</v>
      </c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</row>
    <row r="119" spans="1:18" x14ac:dyDescent="0.2">
      <c r="A119" s="20"/>
      <c r="B119" s="20"/>
      <c r="C119" s="20"/>
      <c r="D119" s="20"/>
      <c r="E119" s="20" t="s">
        <v>51</v>
      </c>
      <c r="F119" s="31">
        <f t="shared" si="13"/>
        <v>1000</v>
      </c>
      <c r="G119" s="20"/>
      <c r="H119" s="25">
        <v>0</v>
      </c>
      <c r="I119" s="20"/>
      <c r="J119" s="25">
        <v>0</v>
      </c>
      <c r="K119" s="20"/>
      <c r="L119" s="25">
        <v>1000</v>
      </c>
      <c r="M119" s="20"/>
      <c r="N119" s="25">
        <v>0</v>
      </c>
      <c r="O119" s="20"/>
      <c r="P119" s="25">
        <v>1000</v>
      </c>
      <c r="Q119" s="20"/>
      <c r="R119" s="25">
        <v>0</v>
      </c>
    </row>
    <row r="120" spans="1:18" x14ac:dyDescent="0.2">
      <c r="A120" s="20"/>
      <c r="B120" s="20"/>
      <c r="C120" s="20" t="s">
        <v>57</v>
      </c>
      <c r="D120" s="20"/>
      <c r="E120" s="20"/>
      <c r="F120" s="31">
        <f t="shared" si="13"/>
        <v>0</v>
      </c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</row>
    <row r="121" spans="1:18" x14ac:dyDescent="0.2">
      <c r="A121" s="20"/>
      <c r="B121" s="20"/>
      <c r="C121" s="20"/>
      <c r="D121" s="20"/>
      <c r="E121" s="20" t="s">
        <v>58</v>
      </c>
      <c r="F121" s="31">
        <f t="shared" si="13"/>
        <v>3674000</v>
      </c>
      <c r="G121" s="20"/>
      <c r="H121" s="25">
        <v>88000</v>
      </c>
      <c r="I121" s="20"/>
      <c r="J121" s="25">
        <v>196000</v>
      </c>
      <c r="K121" s="20"/>
      <c r="L121" s="25">
        <v>3390000</v>
      </c>
      <c r="M121" s="20"/>
      <c r="N121" s="25">
        <v>2183000</v>
      </c>
      <c r="O121" s="20"/>
      <c r="P121" s="25">
        <v>1501000</v>
      </c>
      <c r="Q121" s="20"/>
      <c r="R121" s="25">
        <v>10000</v>
      </c>
    </row>
    <row r="122" spans="1:18" x14ac:dyDescent="0.2">
      <c r="A122" s="20"/>
      <c r="B122" s="20"/>
      <c r="C122" s="20" t="s">
        <v>53</v>
      </c>
      <c r="D122" s="20"/>
      <c r="E122" s="20"/>
      <c r="F122" s="31">
        <f t="shared" si="13"/>
        <v>2000</v>
      </c>
      <c r="G122" s="20"/>
      <c r="H122" s="25">
        <v>0</v>
      </c>
      <c r="I122" s="20"/>
      <c r="J122" s="25">
        <v>0</v>
      </c>
      <c r="K122" s="20"/>
      <c r="L122" s="25">
        <v>2000</v>
      </c>
      <c r="M122" s="20"/>
      <c r="N122" s="25">
        <v>0</v>
      </c>
      <c r="O122" s="20"/>
      <c r="P122" s="25">
        <v>2000</v>
      </c>
      <c r="Q122" s="20"/>
      <c r="R122" s="25">
        <v>0</v>
      </c>
    </row>
    <row r="123" spans="1:18" x14ac:dyDescent="0.2">
      <c r="A123" s="20"/>
      <c r="B123" s="20"/>
      <c r="C123" s="20" t="s">
        <v>59</v>
      </c>
      <c r="D123" s="20"/>
      <c r="E123" s="20"/>
      <c r="F123" s="31">
        <f t="shared" si="13"/>
        <v>117000</v>
      </c>
      <c r="G123" s="20"/>
      <c r="H123" s="25">
        <v>0</v>
      </c>
      <c r="I123" s="20"/>
      <c r="J123" s="25">
        <v>34000</v>
      </c>
      <c r="K123" s="20"/>
      <c r="L123" s="25">
        <v>83000</v>
      </c>
      <c r="M123" s="20"/>
      <c r="N123" s="25">
        <v>39000</v>
      </c>
      <c r="O123" s="20"/>
      <c r="P123" s="25">
        <v>78000</v>
      </c>
      <c r="Q123" s="20"/>
      <c r="R123" s="25">
        <v>0</v>
      </c>
    </row>
    <row r="124" spans="1:18" x14ac:dyDescent="0.2">
      <c r="A124" s="20"/>
      <c r="B124" s="20"/>
      <c r="C124" s="20" t="s">
        <v>55</v>
      </c>
      <c r="D124" s="20"/>
      <c r="E124" s="20"/>
      <c r="F124" s="28">
        <f t="shared" si="13"/>
        <v>3000</v>
      </c>
      <c r="G124" s="20"/>
      <c r="H124" s="27">
        <v>0</v>
      </c>
      <c r="I124" s="20"/>
      <c r="J124" s="27">
        <v>3000</v>
      </c>
      <c r="K124" s="20"/>
      <c r="L124" s="27">
        <v>0</v>
      </c>
      <c r="M124" s="20"/>
      <c r="N124" s="27">
        <v>0</v>
      </c>
      <c r="O124" s="20"/>
      <c r="P124" s="27">
        <v>3000</v>
      </c>
      <c r="Q124" s="20"/>
      <c r="R124" s="27">
        <v>0</v>
      </c>
    </row>
    <row r="125" spans="1:18" x14ac:dyDescent="0.2">
      <c r="A125" s="20"/>
      <c r="B125" s="20"/>
      <c r="C125" s="20"/>
      <c r="D125" s="20"/>
      <c r="E125" s="20"/>
      <c r="F125" s="21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</row>
    <row r="126" spans="1:18" x14ac:dyDescent="0.2">
      <c r="A126" s="20"/>
      <c r="B126" s="20"/>
      <c r="C126" s="20"/>
      <c r="D126" s="20"/>
      <c r="E126" s="20" t="s">
        <v>60</v>
      </c>
      <c r="F126" s="28">
        <f>SUM(F111:F125)</f>
        <v>117458000</v>
      </c>
      <c r="G126" s="27">
        <f t="shared" ref="G126:R126" si="14">SUM(G111:G125)</f>
        <v>0</v>
      </c>
      <c r="H126" s="27">
        <f t="shared" si="14"/>
        <v>1403000</v>
      </c>
      <c r="I126" s="27">
        <f t="shared" si="14"/>
        <v>0</v>
      </c>
      <c r="J126" s="27">
        <f t="shared" si="14"/>
        <v>2996000</v>
      </c>
      <c r="K126" s="27">
        <f t="shared" si="14"/>
        <v>0</v>
      </c>
      <c r="L126" s="27">
        <f t="shared" si="14"/>
        <v>113059000</v>
      </c>
      <c r="M126" s="27">
        <f t="shared" si="14"/>
        <v>0</v>
      </c>
      <c r="N126" s="27">
        <f t="shared" si="14"/>
        <v>54324000</v>
      </c>
      <c r="O126" s="27">
        <f t="shared" si="14"/>
        <v>0</v>
      </c>
      <c r="P126" s="27">
        <f t="shared" si="14"/>
        <v>63144000</v>
      </c>
      <c r="Q126" s="27">
        <f t="shared" si="14"/>
        <v>0</v>
      </c>
      <c r="R126" s="27">
        <f t="shared" si="14"/>
        <v>10000</v>
      </c>
    </row>
    <row r="127" spans="1:18" x14ac:dyDescent="0.2">
      <c r="A127" s="20"/>
      <c r="B127" s="20"/>
      <c r="C127" s="20"/>
      <c r="D127" s="20"/>
      <c r="E127" s="20"/>
      <c r="F127" s="21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</row>
    <row r="128" spans="1:18" x14ac:dyDescent="0.2">
      <c r="A128" s="20"/>
      <c r="B128" s="20" t="s">
        <v>28</v>
      </c>
      <c r="C128" s="20"/>
      <c r="D128" s="20"/>
      <c r="E128" s="20"/>
      <c r="F128" s="21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</row>
    <row r="129" spans="1:18" x14ac:dyDescent="0.2">
      <c r="A129" s="20"/>
      <c r="B129" s="20"/>
      <c r="C129" s="20" t="s">
        <v>39</v>
      </c>
      <c r="D129" s="20"/>
      <c r="E129" s="20"/>
      <c r="F129" s="31">
        <f t="shared" ref="F129:F130" si="15">SUM(H129:L129)</f>
        <v>0</v>
      </c>
      <c r="G129" s="20"/>
      <c r="H129" s="25">
        <v>0</v>
      </c>
      <c r="I129" s="20"/>
      <c r="J129" s="25">
        <v>0</v>
      </c>
      <c r="K129" s="20"/>
      <c r="L129" s="25">
        <v>0</v>
      </c>
      <c r="M129" s="20"/>
      <c r="N129" s="25">
        <v>0</v>
      </c>
      <c r="O129" s="20"/>
      <c r="P129" s="25">
        <v>0</v>
      </c>
      <c r="Q129" s="20"/>
      <c r="R129" s="25">
        <v>0</v>
      </c>
    </row>
    <row r="130" spans="1:18" x14ac:dyDescent="0.2">
      <c r="A130" s="20"/>
      <c r="B130" s="20"/>
      <c r="C130" s="20" t="s">
        <v>56</v>
      </c>
      <c r="D130" s="20"/>
      <c r="E130" s="20"/>
      <c r="F130" s="28">
        <f t="shared" si="15"/>
        <v>1677000</v>
      </c>
      <c r="G130" s="20"/>
      <c r="H130" s="27">
        <v>0</v>
      </c>
      <c r="I130" s="20"/>
      <c r="J130" s="27">
        <v>12000</v>
      </c>
      <c r="K130" s="20"/>
      <c r="L130" s="27">
        <v>1665000</v>
      </c>
      <c r="M130" s="20"/>
      <c r="N130" s="27">
        <v>586000</v>
      </c>
      <c r="O130" s="20"/>
      <c r="P130" s="27">
        <v>1091000</v>
      </c>
      <c r="Q130" s="20"/>
      <c r="R130" s="27">
        <v>0</v>
      </c>
    </row>
    <row r="131" spans="1:18" x14ac:dyDescent="0.2">
      <c r="A131" s="20"/>
      <c r="B131" s="20"/>
      <c r="C131" s="20"/>
      <c r="D131" s="20"/>
      <c r="E131" s="20"/>
      <c r="F131" s="21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</row>
    <row r="132" spans="1:18" x14ac:dyDescent="0.2">
      <c r="A132" s="20"/>
      <c r="B132" s="20"/>
      <c r="C132" s="20"/>
      <c r="D132" s="20"/>
      <c r="E132" s="20" t="s">
        <v>60</v>
      </c>
      <c r="F132" s="28">
        <f>SUM(F129:F131)</f>
        <v>1677000</v>
      </c>
      <c r="G132" s="27">
        <f t="shared" ref="G132:R132" si="16">SUM(G129:G131)</f>
        <v>0</v>
      </c>
      <c r="H132" s="27">
        <f t="shared" si="16"/>
        <v>0</v>
      </c>
      <c r="I132" s="27">
        <f t="shared" si="16"/>
        <v>0</v>
      </c>
      <c r="J132" s="27">
        <f t="shared" si="16"/>
        <v>12000</v>
      </c>
      <c r="K132" s="27">
        <f t="shared" si="16"/>
        <v>0</v>
      </c>
      <c r="L132" s="27">
        <f t="shared" si="16"/>
        <v>1665000</v>
      </c>
      <c r="M132" s="27">
        <f t="shared" si="16"/>
        <v>0</v>
      </c>
      <c r="N132" s="27">
        <f t="shared" si="16"/>
        <v>586000</v>
      </c>
      <c r="O132" s="27">
        <f t="shared" si="16"/>
        <v>0</v>
      </c>
      <c r="P132" s="27">
        <f t="shared" si="16"/>
        <v>1091000</v>
      </c>
      <c r="Q132" s="27">
        <f t="shared" si="16"/>
        <v>0</v>
      </c>
      <c r="R132" s="27">
        <f t="shared" si="16"/>
        <v>0</v>
      </c>
    </row>
    <row r="133" spans="1:18" x14ac:dyDescent="0.2">
      <c r="A133" s="20"/>
      <c r="B133" s="20"/>
      <c r="C133" s="20"/>
      <c r="D133" s="20"/>
      <c r="E133" s="20"/>
      <c r="F133" s="21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</row>
    <row r="134" spans="1:18" x14ac:dyDescent="0.2">
      <c r="A134" s="20"/>
      <c r="B134" s="20" t="s">
        <v>29</v>
      </c>
      <c r="C134" s="20"/>
      <c r="D134" s="20"/>
      <c r="E134" s="20"/>
      <c r="F134" s="21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</row>
    <row r="135" spans="1:18" x14ac:dyDescent="0.2">
      <c r="A135" s="20"/>
      <c r="B135" s="20"/>
      <c r="C135" s="20" t="s">
        <v>39</v>
      </c>
      <c r="D135" s="20"/>
      <c r="E135" s="20"/>
      <c r="F135" s="31">
        <f t="shared" ref="F135:F142" si="17">SUM(H135:L135)</f>
        <v>3149000</v>
      </c>
      <c r="G135" s="20"/>
      <c r="H135" s="25">
        <v>0</v>
      </c>
      <c r="I135" s="20"/>
      <c r="J135" s="25">
        <v>343000</v>
      </c>
      <c r="K135" s="20"/>
      <c r="L135" s="25">
        <v>2806000</v>
      </c>
      <c r="M135" s="20"/>
      <c r="N135" s="25">
        <v>1847000</v>
      </c>
      <c r="O135" s="20"/>
      <c r="P135" s="25">
        <v>1302000</v>
      </c>
      <c r="Q135" s="20"/>
      <c r="R135" s="25">
        <v>0</v>
      </c>
    </row>
    <row r="136" spans="1:18" x14ac:dyDescent="0.2">
      <c r="A136" s="20"/>
      <c r="B136" s="20"/>
      <c r="C136" s="20" t="s">
        <v>56</v>
      </c>
      <c r="D136" s="20"/>
      <c r="E136" s="20"/>
      <c r="F136" s="31">
        <f t="shared" si="17"/>
        <v>436000</v>
      </c>
      <c r="G136" s="20"/>
      <c r="H136" s="25">
        <v>12000</v>
      </c>
      <c r="I136" s="20"/>
      <c r="J136" s="25">
        <v>424000</v>
      </c>
      <c r="K136" s="20"/>
      <c r="L136" s="25">
        <v>0</v>
      </c>
      <c r="M136" s="20"/>
      <c r="N136" s="25">
        <v>269000</v>
      </c>
      <c r="O136" s="20"/>
      <c r="P136" s="25">
        <v>262000</v>
      </c>
      <c r="Q136" s="20"/>
      <c r="R136" s="25">
        <v>95000</v>
      </c>
    </row>
    <row r="137" spans="1:18" x14ac:dyDescent="0.2">
      <c r="A137" s="20"/>
      <c r="B137" s="20"/>
      <c r="C137" s="20" t="s">
        <v>47</v>
      </c>
      <c r="D137" s="20"/>
      <c r="E137" s="20"/>
      <c r="F137" s="31">
        <f t="shared" si="17"/>
        <v>0</v>
      </c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</row>
    <row r="138" spans="1:18" x14ac:dyDescent="0.2">
      <c r="A138" s="20"/>
      <c r="B138" s="20"/>
      <c r="C138" s="20"/>
      <c r="D138" s="20"/>
      <c r="E138" s="20" t="s">
        <v>48</v>
      </c>
      <c r="F138" s="31">
        <f t="shared" si="17"/>
        <v>-334000</v>
      </c>
      <c r="G138" s="20"/>
      <c r="H138" s="25">
        <v>0</v>
      </c>
      <c r="I138" s="20"/>
      <c r="J138" s="25">
        <v>-326000</v>
      </c>
      <c r="K138" s="20"/>
      <c r="L138" s="25">
        <v>-8000</v>
      </c>
      <c r="M138" s="20"/>
      <c r="N138" s="25">
        <v>888000</v>
      </c>
      <c r="O138" s="20"/>
      <c r="P138" s="25">
        <v>846000</v>
      </c>
      <c r="Q138" s="20"/>
      <c r="R138" s="25">
        <v>2068000</v>
      </c>
    </row>
    <row r="139" spans="1:18" x14ac:dyDescent="0.2">
      <c r="A139" s="20"/>
      <c r="B139" s="20"/>
      <c r="C139" s="20" t="s">
        <v>49</v>
      </c>
      <c r="D139" s="20"/>
      <c r="E139" s="20"/>
      <c r="F139" s="31">
        <f t="shared" si="17"/>
        <v>3016000</v>
      </c>
      <c r="G139" s="20"/>
      <c r="H139" s="25">
        <v>59000</v>
      </c>
      <c r="I139" s="20"/>
      <c r="J139" s="25">
        <v>2818000</v>
      </c>
      <c r="K139" s="20"/>
      <c r="L139" s="25">
        <v>139000</v>
      </c>
      <c r="M139" s="20"/>
      <c r="N139" s="25">
        <v>2495000</v>
      </c>
      <c r="O139" s="20"/>
      <c r="P139" s="25">
        <v>3354000</v>
      </c>
      <c r="Q139" s="20"/>
      <c r="R139" s="25">
        <v>2833000</v>
      </c>
    </row>
    <row r="140" spans="1:18" x14ac:dyDescent="0.2">
      <c r="A140" s="20"/>
      <c r="B140" s="20"/>
      <c r="C140" s="20" t="s">
        <v>61</v>
      </c>
      <c r="D140" s="20"/>
      <c r="E140" s="20"/>
      <c r="F140" s="31">
        <f t="shared" si="17"/>
        <v>-139000</v>
      </c>
      <c r="G140" s="20"/>
      <c r="H140" s="25">
        <v>0</v>
      </c>
      <c r="I140" s="20"/>
      <c r="J140" s="25">
        <v>-140000</v>
      </c>
      <c r="K140" s="20"/>
      <c r="L140" s="25">
        <v>1000</v>
      </c>
      <c r="M140" s="20"/>
      <c r="N140" s="25">
        <v>17000</v>
      </c>
      <c r="O140" s="20"/>
      <c r="P140" s="25">
        <v>103000</v>
      </c>
      <c r="Q140" s="20"/>
      <c r="R140" s="25">
        <v>259000</v>
      </c>
    </row>
    <row r="141" spans="1:18" x14ac:dyDescent="0.2">
      <c r="A141" s="20"/>
      <c r="B141" s="20"/>
      <c r="C141" s="20" t="s">
        <v>62</v>
      </c>
      <c r="D141" s="20"/>
      <c r="E141" s="20"/>
      <c r="F141" s="31">
        <f t="shared" si="17"/>
        <v>0</v>
      </c>
      <c r="G141" s="20"/>
      <c r="H141" s="25">
        <v>0</v>
      </c>
      <c r="I141" s="20"/>
      <c r="J141" s="25">
        <v>0</v>
      </c>
      <c r="K141" s="20"/>
      <c r="L141" s="25">
        <v>0</v>
      </c>
      <c r="M141" s="20"/>
      <c r="N141" s="25">
        <v>3000</v>
      </c>
      <c r="O141" s="20"/>
      <c r="P141" s="25">
        <v>1000</v>
      </c>
      <c r="Q141" s="20"/>
      <c r="R141" s="25">
        <v>4000</v>
      </c>
    </row>
    <row r="142" spans="1:18" x14ac:dyDescent="0.2">
      <c r="A142" s="20"/>
      <c r="B142" s="20"/>
      <c r="C142" s="20" t="s">
        <v>59</v>
      </c>
      <c r="D142" s="20"/>
      <c r="E142" s="20"/>
      <c r="F142" s="28">
        <f t="shared" si="17"/>
        <v>0</v>
      </c>
      <c r="G142" s="20"/>
      <c r="H142" s="27">
        <v>0</v>
      </c>
      <c r="I142" s="20"/>
      <c r="J142" s="27">
        <v>0</v>
      </c>
      <c r="K142" s="20"/>
      <c r="L142" s="27">
        <v>0</v>
      </c>
      <c r="M142" s="20"/>
      <c r="N142" s="27">
        <v>0</v>
      </c>
      <c r="O142" s="20"/>
      <c r="P142" s="27">
        <v>0</v>
      </c>
      <c r="Q142" s="20"/>
      <c r="R142" s="27">
        <v>0</v>
      </c>
    </row>
    <row r="143" spans="1:18" x14ac:dyDescent="0.2">
      <c r="A143" s="20"/>
      <c r="B143" s="20"/>
      <c r="C143" s="20"/>
      <c r="D143" s="20"/>
      <c r="E143" s="20"/>
      <c r="F143" s="21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</row>
    <row r="144" spans="1:18" x14ac:dyDescent="0.2">
      <c r="A144" s="20"/>
      <c r="B144" s="20"/>
      <c r="C144" s="20"/>
      <c r="D144" s="20"/>
      <c r="E144" s="20" t="s">
        <v>3</v>
      </c>
      <c r="F144" s="28">
        <f>SUM(F135:F143)</f>
        <v>6128000</v>
      </c>
      <c r="G144" s="27">
        <f t="shared" ref="G144:R144" si="18">SUM(G135:G143)</f>
        <v>0</v>
      </c>
      <c r="H144" s="27">
        <f t="shared" si="18"/>
        <v>71000</v>
      </c>
      <c r="I144" s="27">
        <f t="shared" si="18"/>
        <v>0</v>
      </c>
      <c r="J144" s="27">
        <f t="shared" si="18"/>
        <v>3119000</v>
      </c>
      <c r="K144" s="27">
        <f t="shared" si="18"/>
        <v>0</v>
      </c>
      <c r="L144" s="27">
        <f t="shared" si="18"/>
        <v>2938000</v>
      </c>
      <c r="M144" s="27">
        <f t="shared" si="18"/>
        <v>0</v>
      </c>
      <c r="N144" s="27">
        <f t="shared" si="18"/>
        <v>5519000</v>
      </c>
      <c r="O144" s="27">
        <f t="shared" si="18"/>
        <v>0</v>
      </c>
      <c r="P144" s="27">
        <f t="shared" si="18"/>
        <v>5868000</v>
      </c>
      <c r="Q144" s="27">
        <f t="shared" si="18"/>
        <v>0</v>
      </c>
      <c r="R144" s="27">
        <f t="shared" si="18"/>
        <v>5259000</v>
      </c>
    </row>
    <row r="145" spans="1:18" x14ac:dyDescent="0.2">
      <c r="A145" s="20"/>
      <c r="B145" s="20"/>
      <c r="C145" s="20"/>
      <c r="D145" s="20"/>
      <c r="E145" s="20"/>
      <c r="F145" s="21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</row>
    <row r="146" spans="1:18" x14ac:dyDescent="0.2">
      <c r="A146" s="20"/>
      <c r="B146" s="20"/>
      <c r="C146" s="20"/>
      <c r="D146" s="20"/>
      <c r="E146" s="20" t="s">
        <v>63</v>
      </c>
      <c r="F146" s="28">
        <f>F108+F126+F132+F144</f>
        <v>230298000</v>
      </c>
      <c r="G146" s="27">
        <f t="shared" ref="G146:R146" si="19">G108+G126+G132+G144</f>
        <v>0</v>
      </c>
      <c r="H146" s="27">
        <f t="shared" si="19"/>
        <v>75408000</v>
      </c>
      <c r="I146" s="27">
        <f t="shared" si="19"/>
        <v>0</v>
      </c>
      <c r="J146" s="27">
        <f t="shared" si="19"/>
        <v>22815000</v>
      </c>
      <c r="K146" s="27">
        <f t="shared" si="19"/>
        <v>0</v>
      </c>
      <c r="L146" s="27">
        <f t="shared" si="19"/>
        <v>132075000</v>
      </c>
      <c r="M146" s="27">
        <f t="shared" si="19"/>
        <v>0</v>
      </c>
      <c r="N146" s="27">
        <f t="shared" si="19"/>
        <v>125702000</v>
      </c>
      <c r="O146" s="27">
        <f t="shared" si="19"/>
        <v>0</v>
      </c>
      <c r="P146" s="27">
        <f t="shared" si="19"/>
        <v>110040000</v>
      </c>
      <c r="Q146" s="27">
        <f t="shared" si="19"/>
        <v>0</v>
      </c>
      <c r="R146" s="27">
        <f t="shared" si="19"/>
        <v>5444000</v>
      </c>
    </row>
    <row r="147" spans="1:18" x14ac:dyDescent="0.2">
      <c r="A147" s="20"/>
      <c r="B147" s="20"/>
      <c r="C147" s="20"/>
      <c r="D147" s="20"/>
      <c r="E147" s="20"/>
      <c r="F147" s="21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 spans="1:18" x14ac:dyDescent="0.2">
      <c r="A148" s="22" t="s">
        <v>64</v>
      </c>
      <c r="B148" s="20"/>
      <c r="C148" s="20"/>
      <c r="D148" s="20"/>
      <c r="E148" s="20"/>
      <c r="F148" s="21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</row>
    <row r="149" spans="1:18" x14ac:dyDescent="0.2">
      <c r="A149" s="20"/>
      <c r="B149" s="22" t="s">
        <v>65</v>
      </c>
      <c r="C149" s="20"/>
      <c r="D149" s="20"/>
      <c r="E149" s="20"/>
      <c r="F149" s="21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</row>
    <row r="150" spans="1:18" x14ac:dyDescent="0.2">
      <c r="A150" s="20"/>
      <c r="B150" s="20"/>
      <c r="C150" s="20"/>
      <c r="D150" s="20"/>
      <c r="E150" s="20"/>
      <c r="F150" s="21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</row>
    <row r="151" spans="1:18" x14ac:dyDescent="0.2">
      <c r="A151" s="20"/>
      <c r="B151" s="20" t="s">
        <v>13</v>
      </c>
      <c r="C151" s="20"/>
      <c r="D151" s="20"/>
      <c r="E151" s="20"/>
      <c r="F151" s="21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</row>
    <row r="152" spans="1:18" x14ac:dyDescent="0.2">
      <c r="A152" s="20"/>
      <c r="B152" s="20"/>
      <c r="C152" s="20" t="s">
        <v>66</v>
      </c>
      <c r="D152" s="20"/>
      <c r="E152" s="20"/>
      <c r="F152" s="31">
        <f t="shared" ref="F152:F156" si="20">SUM(H152:L152)</f>
        <v>9100000</v>
      </c>
      <c r="G152" s="20"/>
      <c r="H152" s="25">
        <v>6977000</v>
      </c>
      <c r="I152" s="20"/>
      <c r="J152" s="25">
        <v>1301000</v>
      </c>
      <c r="K152" s="20"/>
      <c r="L152" s="25">
        <v>822000</v>
      </c>
      <c r="M152" s="20"/>
      <c r="N152" s="25">
        <v>5865000</v>
      </c>
      <c r="O152" s="20"/>
      <c r="P152" s="25">
        <v>3235000</v>
      </c>
      <c r="Q152" s="20"/>
      <c r="R152" s="25">
        <v>0</v>
      </c>
    </row>
    <row r="153" spans="1:18" x14ac:dyDescent="0.2">
      <c r="A153" s="20"/>
      <c r="B153" s="20"/>
      <c r="C153" s="20" t="s">
        <v>67</v>
      </c>
      <c r="D153" s="20"/>
      <c r="E153" s="20"/>
      <c r="F153" s="31">
        <f t="shared" si="20"/>
        <v>4066000</v>
      </c>
      <c r="G153" s="20"/>
      <c r="H153" s="25">
        <v>3431000</v>
      </c>
      <c r="I153" s="20"/>
      <c r="J153" s="25">
        <v>411000</v>
      </c>
      <c r="K153" s="20"/>
      <c r="L153" s="25">
        <v>224000</v>
      </c>
      <c r="M153" s="20"/>
      <c r="N153" s="25">
        <v>2614000</v>
      </c>
      <c r="O153" s="20"/>
      <c r="P153" s="25">
        <v>1452000</v>
      </c>
      <c r="Q153" s="20"/>
      <c r="R153" s="25">
        <v>0</v>
      </c>
    </row>
    <row r="154" spans="1:18" x14ac:dyDescent="0.2">
      <c r="A154" s="20"/>
      <c r="B154" s="20"/>
      <c r="C154" s="20" t="s">
        <v>39</v>
      </c>
      <c r="D154" s="20"/>
      <c r="E154" s="20"/>
      <c r="F154" s="31">
        <f t="shared" si="20"/>
        <v>6861000</v>
      </c>
      <c r="G154" s="20"/>
      <c r="H154" s="25">
        <v>3285000</v>
      </c>
      <c r="I154" s="20"/>
      <c r="J154" s="25">
        <v>1281000</v>
      </c>
      <c r="K154" s="20"/>
      <c r="L154" s="25">
        <v>2295000</v>
      </c>
      <c r="M154" s="20"/>
      <c r="N154" s="25">
        <v>4214000</v>
      </c>
      <c r="O154" s="20"/>
      <c r="P154" s="25">
        <v>2800000</v>
      </c>
      <c r="Q154" s="20"/>
      <c r="R154" s="25">
        <v>153000</v>
      </c>
    </row>
    <row r="155" spans="1:18" x14ac:dyDescent="0.2">
      <c r="A155" s="20"/>
      <c r="B155" s="20"/>
      <c r="C155" s="20" t="s">
        <v>68</v>
      </c>
      <c r="D155" s="20"/>
      <c r="E155" s="20"/>
      <c r="F155" s="31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</row>
    <row r="156" spans="1:18" x14ac:dyDescent="0.2">
      <c r="A156" s="20"/>
      <c r="B156" s="20"/>
      <c r="C156" s="20"/>
      <c r="D156" s="20"/>
      <c r="E156" s="20" t="s">
        <v>69</v>
      </c>
      <c r="F156" s="28">
        <f t="shared" si="20"/>
        <v>3744000</v>
      </c>
      <c r="G156" s="20"/>
      <c r="H156" s="27">
        <v>2695000</v>
      </c>
      <c r="I156" s="20"/>
      <c r="J156" s="27">
        <v>486000</v>
      </c>
      <c r="K156" s="20"/>
      <c r="L156" s="27">
        <v>563000</v>
      </c>
      <c r="M156" s="20"/>
      <c r="N156" s="27">
        <v>2209000</v>
      </c>
      <c r="O156" s="20"/>
      <c r="P156" s="27">
        <v>1535000</v>
      </c>
      <c r="Q156" s="20"/>
      <c r="R156" s="27">
        <v>0</v>
      </c>
    </row>
    <row r="157" spans="1:18" x14ac:dyDescent="0.2">
      <c r="A157" s="20"/>
      <c r="B157" s="20"/>
      <c r="C157" s="20"/>
      <c r="D157" s="20"/>
      <c r="E157" s="20"/>
      <c r="F157" s="21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</row>
    <row r="158" spans="1:18" x14ac:dyDescent="0.2">
      <c r="A158" s="20"/>
      <c r="B158" s="20"/>
      <c r="C158" s="20"/>
      <c r="D158" s="20"/>
      <c r="E158" s="20" t="s">
        <v>3</v>
      </c>
      <c r="F158" s="28">
        <f>SUM(F152:F156)</f>
        <v>23771000</v>
      </c>
      <c r="G158" s="27">
        <f t="shared" ref="G158:R158" si="21">SUM(G152:G156)</f>
        <v>0</v>
      </c>
      <c r="H158" s="27">
        <f t="shared" si="21"/>
        <v>16388000</v>
      </c>
      <c r="I158" s="27">
        <f t="shared" si="21"/>
        <v>0</v>
      </c>
      <c r="J158" s="27">
        <f t="shared" si="21"/>
        <v>3479000</v>
      </c>
      <c r="K158" s="27">
        <f t="shared" si="21"/>
        <v>0</v>
      </c>
      <c r="L158" s="27">
        <f t="shared" si="21"/>
        <v>3904000</v>
      </c>
      <c r="M158" s="27">
        <f t="shared" si="21"/>
        <v>0</v>
      </c>
      <c r="N158" s="27">
        <f t="shared" si="21"/>
        <v>14902000</v>
      </c>
      <c r="O158" s="27">
        <f t="shared" si="21"/>
        <v>0</v>
      </c>
      <c r="P158" s="27">
        <f t="shared" si="21"/>
        <v>9022000</v>
      </c>
      <c r="Q158" s="27">
        <f t="shared" si="21"/>
        <v>0</v>
      </c>
      <c r="R158" s="27">
        <f t="shared" si="21"/>
        <v>153000</v>
      </c>
    </row>
    <row r="159" spans="1:18" x14ac:dyDescent="0.2">
      <c r="A159" s="20"/>
      <c r="B159" s="20"/>
      <c r="C159" s="20"/>
      <c r="D159" s="20"/>
      <c r="E159" s="20"/>
      <c r="F159" s="21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</row>
    <row r="160" spans="1:18" x14ac:dyDescent="0.2">
      <c r="A160" s="20"/>
      <c r="B160" s="20" t="s">
        <v>24</v>
      </c>
      <c r="C160" s="20"/>
      <c r="D160" s="20"/>
      <c r="E160" s="20"/>
      <c r="F160" s="21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</row>
    <row r="161" spans="1:18" x14ac:dyDescent="0.2">
      <c r="A161" s="20"/>
      <c r="B161" s="20"/>
      <c r="C161" s="20" t="s">
        <v>66</v>
      </c>
      <c r="D161" s="20"/>
      <c r="E161" s="20"/>
      <c r="F161" s="31">
        <f t="shared" ref="F161:F165" si="22">SUM(H161:L161)</f>
        <v>1000</v>
      </c>
      <c r="G161" s="20"/>
      <c r="H161" s="25">
        <v>0</v>
      </c>
      <c r="I161" s="20"/>
      <c r="J161" s="25">
        <v>0</v>
      </c>
      <c r="K161" s="20"/>
      <c r="L161" s="25">
        <v>1000</v>
      </c>
      <c r="M161" s="20"/>
      <c r="N161" s="25">
        <v>0</v>
      </c>
      <c r="O161" s="20"/>
      <c r="P161" s="25">
        <v>1000</v>
      </c>
      <c r="Q161" s="20"/>
      <c r="R161" s="25">
        <v>0</v>
      </c>
    </row>
    <row r="162" spans="1:18" x14ac:dyDescent="0.2">
      <c r="A162" s="20"/>
      <c r="B162" s="20"/>
      <c r="C162" s="20" t="s">
        <v>67</v>
      </c>
      <c r="D162" s="20"/>
      <c r="E162" s="20"/>
      <c r="F162" s="31">
        <f t="shared" si="22"/>
        <v>48000</v>
      </c>
      <c r="G162" s="20"/>
      <c r="H162" s="25">
        <v>45000</v>
      </c>
      <c r="I162" s="20"/>
      <c r="J162" s="25">
        <v>2000</v>
      </c>
      <c r="K162" s="20"/>
      <c r="L162" s="25">
        <v>1000</v>
      </c>
      <c r="M162" s="20"/>
      <c r="N162" s="25">
        <v>31000</v>
      </c>
      <c r="O162" s="20"/>
      <c r="P162" s="25">
        <v>17000</v>
      </c>
      <c r="Q162" s="20"/>
      <c r="R162" s="25">
        <v>0</v>
      </c>
    </row>
    <row r="163" spans="1:18" x14ac:dyDescent="0.2">
      <c r="A163" s="20"/>
      <c r="B163" s="20"/>
      <c r="C163" s="20" t="s">
        <v>39</v>
      </c>
      <c r="D163" s="20"/>
      <c r="E163" s="20"/>
      <c r="F163" s="31">
        <f t="shared" si="22"/>
        <v>0</v>
      </c>
      <c r="G163" s="20"/>
      <c r="H163" s="25">
        <v>0</v>
      </c>
      <c r="I163" s="20"/>
      <c r="J163" s="25">
        <v>0</v>
      </c>
      <c r="K163" s="20"/>
      <c r="L163" s="25">
        <v>0</v>
      </c>
      <c r="M163" s="20"/>
      <c r="N163" s="25">
        <v>0</v>
      </c>
      <c r="O163" s="20"/>
      <c r="P163" s="25">
        <v>0</v>
      </c>
      <c r="Q163" s="20"/>
      <c r="R163" s="25">
        <v>0</v>
      </c>
    </row>
    <row r="164" spans="1:18" x14ac:dyDescent="0.2">
      <c r="A164" s="20"/>
      <c r="B164" s="20"/>
      <c r="C164" s="20" t="s">
        <v>68</v>
      </c>
      <c r="D164" s="20"/>
      <c r="E164" s="20"/>
      <c r="F164" s="31">
        <f t="shared" si="22"/>
        <v>0</v>
      </c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</row>
    <row r="165" spans="1:18" x14ac:dyDescent="0.2">
      <c r="A165" s="20"/>
      <c r="B165" s="20"/>
      <c r="C165" s="20"/>
      <c r="D165" s="20"/>
      <c r="E165" s="20" t="s">
        <v>69</v>
      </c>
      <c r="F165" s="28">
        <f t="shared" si="22"/>
        <v>1000</v>
      </c>
      <c r="G165" s="20"/>
      <c r="H165" s="27">
        <v>1000</v>
      </c>
      <c r="I165" s="20"/>
      <c r="J165" s="27">
        <v>0</v>
      </c>
      <c r="K165" s="20"/>
      <c r="L165" s="27">
        <v>0</v>
      </c>
      <c r="M165" s="20"/>
      <c r="N165" s="27">
        <v>1000</v>
      </c>
      <c r="O165" s="20"/>
      <c r="P165" s="27">
        <v>0</v>
      </c>
      <c r="Q165" s="20"/>
      <c r="R165" s="27">
        <v>0</v>
      </c>
    </row>
    <row r="166" spans="1:18" x14ac:dyDescent="0.2">
      <c r="A166" s="20"/>
      <c r="B166" s="20"/>
      <c r="C166" s="20"/>
      <c r="D166" s="20"/>
      <c r="E166" s="20"/>
      <c r="F166" s="21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</row>
    <row r="167" spans="1:18" x14ac:dyDescent="0.2">
      <c r="A167" s="20"/>
      <c r="B167" s="20"/>
      <c r="C167" s="20"/>
      <c r="D167" s="20"/>
      <c r="E167" s="20" t="s">
        <v>3</v>
      </c>
      <c r="F167" s="28">
        <f>SUM(F161:F166)</f>
        <v>50000</v>
      </c>
      <c r="G167" s="27">
        <f t="shared" ref="G167:R167" si="23">SUM(G161:G166)</f>
        <v>0</v>
      </c>
      <c r="H167" s="27">
        <f t="shared" si="23"/>
        <v>46000</v>
      </c>
      <c r="I167" s="27">
        <f t="shared" si="23"/>
        <v>0</v>
      </c>
      <c r="J167" s="27">
        <f t="shared" si="23"/>
        <v>2000</v>
      </c>
      <c r="K167" s="27">
        <f t="shared" si="23"/>
        <v>0</v>
      </c>
      <c r="L167" s="27">
        <f t="shared" si="23"/>
        <v>2000</v>
      </c>
      <c r="M167" s="27">
        <f t="shared" si="23"/>
        <v>0</v>
      </c>
      <c r="N167" s="27">
        <f t="shared" si="23"/>
        <v>32000</v>
      </c>
      <c r="O167" s="27">
        <f t="shared" si="23"/>
        <v>0</v>
      </c>
      <c r="P167" s="27">
        <f t="shared" si="23"/>
        <v>18000</v>
      </c>
      <c r="Q167" s="27">
        <f t="shared" si="23"/>
        <v>0</v>
      </c>
      <c r="R167" s="27">
        <f t="shared" si="23"/>
        <v>0</v>
      </c>
    </row>
    <row r="168" spans="1:18" x14ac:dyDescent="0.2">
      <c r="A168" s="20"/>
      <c r="B168" s="20"/>
      <c r="C168" s="20"/>
      <c r="D168" s="20"/>
      <c r="E168" s="20"/>
      <c r="F168" s="21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</row>
    <row r="169" spans="1:18" x14ac:dyDescent="0.2">
      <c r="A169" s="20"/>
      <c r="B169" s="20" t="s">
        <v>29</v>
      </c>
      <c r="C169" s="20"/>
      <c r="D169" s="20"/>
      <c r="E169" s="20"/>
      <c r="F169" s="28">
        <f t="shared" ref="F169" si="24">SUM(H169:L169)</f>
        <v>2000</v>
      </c>
      <c r="G169" s="20"/>
      <c r="H169" s="27">
        <v>0</v>
      </c>
      <c r="I169" s="20"/>
      <c r="J169" s="27">
        <v>2000</v>
      </c>
      <c r="K169" s="20"/>
      <c r="L169" s="27">
        <v>0</v>
      </c>
      <c r="M169" s="20"/>
      <c r="N169" s="27">
        <v>0</v>
      </c>
      <c r="O169" s="20"/>
      <c r="P169" s="27">
        <v>2000</v>
      </c>
      <c r="Q169" s="20"/>
      <c r="R169" s="27">
        <v>0</v>
      </c>
    </row>
    <row r="170" spans="1:18" x14ac:dyDescent="0.2">
      <c r="A170" s="20"/>
      <c r="B170" s="20"/>
      <c r="C170" s="20"/>
      <c r="D170" s="20"/>
      <c r="E170" s="20"/>
      <c r="F170" s="21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</row>
    <row r="171" spans="1:18" x14ac:dyDescent="0.2">
      <c r="A171" s="20"/>
      <c r="B171" s="20"/>
      <c r="C171" s="20"/>
      <c r="D171" s="20"/>
      <c r="E171" s="20" t="s">
        <v>70</v>
      </c>
      <c r="F171" s="21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</row>
    <row r="172" spans="1:18" x14ac:dyDescent="0.2">
      <c r="A172" s="20"/>
      <c r="B172" s="20"/>
      <c r="C172" s="20"/>
      <c r="D172" s="20"/>
      <c r="E172" s="20" t="s">
        <v>71</v>
      </c>
      <c r="F172" s="28">
        <f>F158+F167+F169</f>
        <v>23823000</v>
      </c>
      <c r="G172" s="27">
        <f t="shared" ref="G172:R172" si="25">G158+G167+G169</f>
        <v>0</v>
      </c>
      <c r="H172" s="27">
        <f t="shared" si="25"/>
        <v>16434000</v>
      </c>
      <c r="I172" s="27">
        <f t="shared" si="25"/>
        <v>0</v>
      </c>
      <c r="J172" s="27">
        <f t="shared" si="25"/>
        <v>3483000</v>
      </c>
      <c r="K172" s="27">
        <f t="shared" si="25"/>
        <v>0</v>
      </c>
      <c r="L172" s="27">
        <f t="shared" si="25"/>
        <v>3906000</v>
      </c>
      <c r="M172" s="27">
        <f t="shared" si="25"/>
        <v>0</v>
      </c>
      <c r="N172" s="27">
        <f t="shared" si="25"/>
        <v>14934000</v>
      </c>
      <c r="O172" s="27">
        <f t="shared" si="25"/>
        <v>0</v>
      </c>
      <c r="P172" s="27">
        <f t="shared" si="25"/>
        <v>9042000</v>
      </c>
      <c r="Q172" s="27">
        <f t="shared" si="25"/>
        <v>0</v>
      </c>
      <c r="R172" s="27">
        <f t="shared" si="25"/>
        <v>153000</v>
      </c>
    </row>
    <row r="173" spans="1:18" x14ac:dyDescent="0.2">
      <c r="A173" s="20"/>
      <c r="B173" s="20"/>
      <c r="C173" s="20"/>
      <c r="D173" s="20"/>
      <c r="E173" s="20"/>
      <c r="F173" s="21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</row>
    <row r="174" spans="1:18" x14ac:dyDescent="0.2">
      <c r="A174" s="22" t="s">
        <v>72</v>
      </c>
      <c r="B174" s="20"/>
      <c r="C174" s="20"/>
      <c r="D174" s="20"/>
      <c r="E174" s="20"/>
      <c r="F174" s="21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</row>
    <row r="175" spans="1:18" x14ac:dyDescent="0.2">
      <c r="A175" s="20"/>
      <c r="B175" s="22" t="s">
        <v>73</v>
      </c>
      <c r="C175" s="20"/>
      <c r="D175" s="20"/>
      <c r="E175" s="20"/>
      <c r="F175" s="21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</row>
    <row r="176" spans="1:18" x14ac:dyDescent="0.2">
      <c r="A176" s="20"/>
      <c r="B176" s="20"/>
      <c r="C176" s="20"/>
      <c r="D176" s="20"/>
      <c r="E176" s="20"/>
      <c r="F176" s="21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</row>
    <row r="177" spans="1:18" x14ac:dyDescent="0.2">
      <c r="A177" s="20"/>
      <c r="B177" s="20" t="s">
        <v>13</v>
      </c>
      <c r="C177" s="20"/>
      <c r="D177" s="20"/>
      <c r="E177" s="20"/>
      <c r="F177" s="28">
        <f t="shared" ref="F177" si="26">SUM(H177:L177)</f>
        <v>7411000</v>
      </c>
      <c r="G177" s="20"/>
      <c r="H177" s="27">
        <v>3257000</v>
      </c>
      <c r="I177" s="20"/>
      <c r="J177" s="27">
        <v>1634000</v>
      </c>
      <c r="K177" s="20"/>
      <c r="L177" s="27">
        <v>2520000</v>
      </c>
      <c r="M177" s="20"/>
      <c r="N177" s="27">
        <v>4570000</v>
      </c>
      <c r="O177" s="20"/>
      <c r="P177" s="27">
        <v>2841000</v>
      </c>
      <c r="Q177" s="20"/>
      <c r="R177" s="27">
        <v>0</v>
      </c>
    </row>
    <row r="178" spans="1:18" x14ac:dyDescent="0.2">
      <c r="A178" s="20"/>
      <c r="B178" s="20"/>
      <c r="C178" s="20"/>
      <c r="D178" s="20"/>
      <c r="E178" s="20"/>
      <c r="F178" s="21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</row>
    <row r="179" spans="1:18" x14ac:dyDescent="0.2">
      <c r="A179" s="20"/>
      <c r="B179" s="20" t="s">
        <v>24</v>
      </c>
      <c r="C179" s="20"/>
      <c r="D179" s="20"/>
      <c r="E179" s="20"/>
      <c r="F179" s="28">
        <f t="shared" ref="F179" si="27">SUM(H179:L179)</f>
        <v>476000</v>
      </c>
      <c r="G179" s="20"/>
      <c r="H179" s="27">
        <v>-1000</v>
      </c>
      <c r="I179" s="20"/>
      <c r="J179" s="27">
        <v>60000</v>
      </c>
      <c r="K179" s="20"/>
      <c r="L179" s="27">
        <v>417000</v>
      </c>
      <c r="M179" s="20"/>
      <c r="N179" s="27">
        <v>306000</v>
      </c>
      <c r="O179" s="20"/>
      <c r="P179" s="27">
        <v>170000</v>
      </c>
      <c r="Q179" s="20"/>
      <c r="R179" s="27">
        <v>0</v>
      </c>
    </row>
    <row r="180" spans="1:18" x14ac:dyDescent="0.2">
      <c r="A180" s="20"/>
      <c r="B180" s="20"/>
      <c r="C180" s="20"/>
      <c r="D180" s="20"/>
      <c r="E180" s="20"/>
      <c r="F180" s="21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</row>
    <row r="181" spans="1:18" x14ac:dyDescent="0.2">
      <c r="A181" s="20"/>
      <c r="B181" s="20" t="s">
        <v>28</v>
      </c>
      <c r="C181" s="20"/>
      <c r="D181" s="20"/>
      <c r="E181" s="20"/>
      <c r="F181" s="28">
        <f t="shared" ref="F181" si="28">SUM(H181:L181)</f>
        <v>313000</v>
      </c>
      <c r="G181" s="20"/>
      <c r="H181" s="27">
        <v>0</v>
      </c>
      <c r="I181" s="20"/>
      <c r="J181" s="27">
        <v>0</v>
      </c>
      <c r="K181" s="20"/>
      <c r="L181" s="27">
        <v>313000</v>
      </c>
      <c r="M181" s="20"/>
      <c r="N181" s="27">
        <v>81000</v>
      </c>
      <c r="O181" s="20"/>
      <c r="P181" s="27">
        <v>232000</v>
      </c>
      <c r="Q181" s="20"/>
      <c r="R181" s="27">
        <v>0</v>
      </c>
    </row>
    <row r="182" spans="1:18" x14ac:dyDescent="0.2">
      <c r="A182" s="20"/>
      <c r="B182" s="20"/>
      <c r="C182" s="20"/>
      <c r="D182" s="20"/>
      <c r="E182" s="20"/>
      <c r="F182" s="21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</row>
    <row r="183" spans="1:18" x14ac:dyDescent="0.2">
      <c r="A183" s="20"/>
      <c r="B183" s="20" t="s">
        <v>29</v>
      </c>
      <c r="C183" s="20"/>
      <c r="D183" s="20"/>
      <c r="E183" s="20"/>
      <c r="F183" s="28">
        <f t="shared" ref="F183" si="29">SUM(H183:L183)</f>
        <v>0</v>
      </c>
      <c r="G183" s="20"/>
      <c r="H183" s="27">
        <v>0</v>
      </c>
      <c r="I183" s="20"/>
      <c r="J183" s="27">
        <v>0</v>
      </c>
      <c r="K183" s="20"/>
      <c r="L183" s="27">
        <v>0</v>
      </c>
      <c r="M183" s="20"/>
      <c r="N183" s="27">
        <v>0</v>
      </c>
      <c r="O183" s="20"/>
      <c r="P183" s="27">
        <v>0</v>
      </c>
      <c r="Q183" s="20"/>
      <c r="R183" s="27">
        <v>0</v>
      </c>
    </row>
    <row r="184" spans="1:18" x14ac:dyDescent="0.2">
      <c r="A184" s="20"/>
      <c r="B184" s="20"/>
      <c r="C184" s="20"/>
      <c r="D184" s="20"/>
      <c r="E184" s="20"/>
      <c r="F184" s="21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</row>
    <row r="185" spans="1:18" x14ac:dyDescent="0.2">
      <c r="A185" s="20"/>
      <c r="B185" s="20"/>
      <c r="C185" s="20"/>
      <c r="D185" s="20"/>
      <c r="E185" s="20" t="s">
        <v>74</v>
      </c>
      <c r="F185" s="21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</row>
    <row r="186" spans="1:18" x14ac:dyDescent="0.2">
      <c r="A186" s="20"/>
      <c r="B186" s="20"/>
      <c r="C186" s="20"/>
      <c r="D186" s="20"/>
      <c r="E186" s="20" t="s">
        <v>75</v>
      </c>
      <c r="F186" s="28">
        <f>F177+F179+F181+F183</f>
        <v>8200000</v>
      </c>
      <c r="G186" s="27">
        <f t="shared" ref="G186:R186" si="30">G177+G179+G181+G183</f>
        <v>0</v>
      </c>
      <c r="H186" s="27">
        <f t="shared" si="30"/>
        <v>3256000</v>
      </c>
      <c r="I186" s="27">
        <f t="shared" si="30"/>
        <v>0</v>
      </c>
      <c r="J186" s="27">
        <f t="shared" si="30"/>
        <v>1694000</v>
      </c>
      <c r="K186" s="27">
        <f t="shared" si="30"/>
        <v>0</v>
      </c>
      <c r="L186" s="27">
        <f t="shared" si="30"/>
        <v>3250000</v>
      </c>
      <c r="M186" s="27">
        <f t="shared" si="30"/>
        <v>0</v>
      </c>
      <c r="N186" s="27">
        <f t="shared" si="30"/>
        <v>4957000</v>
      </c>
      <c r="O186" s="27">
        <f t="shared" si="30"/>
        <v>0</v>
      </c>
      <c r="P186" s="27">
        <f t="shared" si="30"/>
        <v>3243000</v>
      </c>
      <c r="Q186" s="27">
        <f t="shared" si="30"/>
        <v>0</v>
      </c>
      <c r="R186" s="27">
        <f t="shared" si="30"/>
        <v>0</v>
      </c>
    </row>
    <row r="187" spans="1:18" x14ac:dyDescent="0.2">
      <c r="A187" s="20"/>
      <c r="B187" s="20"/>
      <c r="C187" s="20"/>
      <c r="D187" s="20"/>
      <c r="E187" s="20"/>
      <c r="F187" s="21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</row>
    <row r="188" spans="1:18" x14ac:dyDescent="0.2">
      <c r="A188" s="22" t="s">
        <v>76</v>
      </c>
      <c r="B188" s="20"/>
      <c r="C188" s="20"/>
      <c r="D188" s="20"/>
      <c r="E188" s="20"/>
      <c r="F188" s="21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</row>
    <row r="189" spans="1:18" x14ac:dyDescent="0.2">
      <c r="A189" s="20"/>
      <c r="B189" s="20"/>
      <c r="C189" s="20"/>
      <c r="D189" s="20"/>
      <c r="E189" s="20"/>
      <c r="F189" s="21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</row>
    <row r="190" spans="1:18" x14ac:dyDescent="0.2">
      <c r="A190" s="20"/>
      <c r="B190" s="20" t="s">
        <v>13</v>
      </c>
      <c r="C190" s="20"/>
      <c r="D190" s="20"/>
      <c r="E190" s="20"/>
      <c r="F190" s="28">
        <f t="shared" ref="F190" si="31">SUM(H190:L190)</f>
        <v>34115000</v>
      </c>
      <c r="G190" s="20"/>
      <c r="H190" s="27">
        <v>20062000</v>
      </c>
      <c r="I190" s="20"/>
      <c r="J190" s="27">
        <v>11209000</v>
      </c>
      <c r="K190" s="20"/>
      <c r="L190" s="27">
        <v>2844000</v>
      </c>
      <c r="M190" s="20"/>
      <c r="N190" s="27">
        <v>23553000</v>
      </c>
      <c r="O190" s="20"/>
      <c r="P190" s="27">
        <v>10571000</v>
      </c>
      <c r="Q190" s="20"/>
      <c r="R190" s="27">
        <v>9000</v>
      </c>
    </row>
    <row r="191" spans="1:18" x14ac:dyDescent="0.2">
      <c r="A191" s="20"/>
      <c r="B191" s="20"/>
      <c r="C191" s="20"/>
      <c r="D191" s="20"/>
      <c r="E191" s="20"/>
      <c r="F191" s="21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</row>
    <row r="192" spans="1:18" x14ac:dyDescent="0.2">
      <c r="A192" s="20"/>
      <c r="B192" s="20" t="s">
        <v>24</v>
      </c>
      <c r="C192" s="20"/>
      <c r="D192" s="20"/>
      <c r="E192" s="20"/>
      <c r="F192" s="28">
        <f t="shared" ref="F192" si="32">SUM(H192:L192)</f>
        <v>11855000</v>
      </c>
      <c r="G192" s="20"/>
      <c r="H192" s="27">
        <v>2464000</v>
      </c>
      <c r="I192" s="20"/>
      <c r="J192" s="27">
        <v>2407000</v>
      </c>
      <c r="K192" s="20"/>
      <c r="L192" s="27">
        <v>6984000</v>
      </c>
      <c r="M192" s="20"/>
      <c r="N192" s="27">
        <v>6900000</v>
      </c>
      <c r="O192" s="20"/>
      <c r="P192" s="27">
        <v>4955000</v>
      </c>
      <c r="Q192" s="20"/>
      <c r="R192" s="27">
        <v>0</v>
      </c>
    </row>
    <row r="193" spans="1:18" x14ac:dyDescent="0.2">
      <c r="A193" s="20"/>
      <c r="B193" s="20"/>
      <c r="C193" s="20"/>
      <c r="D193" s="20"/>
      <c r="E193" s="20"/>
      <c r="F193" s="21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</row>
    <row r="194" spans="1:18" x14ac:dyDescent="0.2">
      <c r="A194" s="20"/>
      <c r="B194" s="20" t="s">
        <v>28</v>
      </c>
      <c r="C194" s="20"/>
      <c r="D194" s="20"/>
      <c r="E194" s="20"/>
      <c r="F194" s="28">
        <f t="shared" ref="F194" si="33">SUM(H194:L194)</f>
        <v>590000</v>
      </c>
      <c r="G194" s="20"/>
      <c r="H194" s="27">
        <v>1000</v>
      </c>
      <c r="I194" s="20"/>
      <c r="J194" s="27">
        <v>119000</v>
      </c>
      <c r="K194" s="20"/>
      <c r="L194" s="27">
        <v>470000</v>
      </c>
      <c r="M194" s="20"/>
      <c r="N194" s="27">
        <v>281000</v>
      </c>
      <c r="O194" s="20"/>
      <c r="P194" s="27">
        <v>309000</v>
      </c>
      <c r="Q194" s="20"/>
      <c r="R194" s="27">
        <v>0</v>
      </c>
    </row>
    <row r="195" spans="1:18" x14ac:dyDescent="0.2">
      <c r="A195" s="20"/>
      <c r="B195" s="20"/>
      <c r="C195" s="20"/>
      <c r="D195" s="20"/>
      <c r="E195" s="20"/>
      <c r="F195" s="21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</row>
    <row r="196" spans="1:18" x14ac:dyDescent="0.2">
      <c r="A196" s="20"/>
      <c r="B196" s="20" t="s">
        <v>29</v>
      </c>
      <c r="C196" s="20"/>
      <c r="D196" s="20"/>
      <c r="E196" s="20"/>
      <c r="F196" s="28">
        <f t="shared" ref="F196" si="34">SUM(H196:L196)</f>
        <v>14787000</v>
      </c>
      <c r="G196" s="20"/>
      <c r="H196" s="27">
        <v>2200000</v>
      </c>
      <c r="I196" s="20"/>
      <c r="J196" s="27">
        <v>11663000</v>
      </c>
      <c r="K196" s="20"/>
      <c r="L196" s="27">
        <v>924000</v>
      </c>
      <c r="M196" s="20"/>
      <c r="N196" s="27">
        <v>7585000</v>
      </c>
      <c r="O196" s="20"/>
      <c r="P196" s="27">
        <v>7208000</v>
      </c>
      <c r="Q196" s="20"/>
      <c r="R196" s="27">
        <v>6000</v>
      </c>
    </row>
    <row r="197" spans="1:18" x14ac:dyDescent="0.2">
      <c r="A197" s="20"/>
      <c r="B197" s="20"/>
      <c r="C197" s="20"/>
      <c r="D197" s="20"/>
      <c r="E197" s="20"/>
      <c r="F197" s="21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</row>
    <row r="198" spans="1:18" x14ac:dyDescent="0.2">
      <c r="A198" s="20"/>
      <c r="B198" s="20"/>
      <c r="C198" s="20"/>
      <c r="D198" s="20"/>
      <c r="E198" s="20" t="s">
        <v>77</v>
      </c>
      <c r="F198" s="28">
        <f>F190+F192+F194+F196</f>
        <v>61347000</v>
      </c>
      <c r="G198" s="27">
        <f t="shared" ref="G198:R198" si="35">G190+G192+G194+G196</f>
        <v>0</v>
      </c>
      <c r="H198" s="27">
        <f t="shared" si="35"/>
        <v>24727000</v>
      </c>
      <c r="I198" s="27">
        <f t="shared" si="35"/>
        <v>0</v>
      </c>
      <c r="J198" s="27">
        <f t="shared" si="35"/>
        <v>25398000</v>
      </c>
      <c r="K198" s="27">
        <f t="shared" si="35"/>
        <v>0</v>
      </c>
      <c r="L198" s="27">
        <f t="shared" si="35"/>
        <v>11222000</v>
      </c>
      <c r="M198" s="27">
        <f t="shared" si="35"/>
        <v>0</v>
      </c>
      <c r="N198" s="27">
        <f t="shared" si="35"/>
        <v>38319000</v>
      </c>
      <c r="O198" s="27">
        <f t="shared" si="35"/>
        <v>0</v>
      </c>
      <c r="P198" s="27">
        <f t="shared" si="35"/>
        <v>23043000</v>
      </c>
      <c r="Q198" s="27">
        <f t="shared" si="35"/>
        <v>0</v>
      </c>
      <c r="R198" s="27">
        <f t="shared" si="35"/>
        <v>15000</v>
      </c>
    </row>
    <row r="199" spans="1:18" x14ac:dyDescent="0.2">
      <c r="A199" s="20"/>
      <c r="B199" s="20"/>
      <c r="C199" s="20"/>
      <c r="D199" s="20"/>
      <c r="E199" s="20"/>
      <c r="F199" s="21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 x14ac:dyDescent="0.2">
      <c r="A200" s="22" t="s">
        <v>78</v>
      </c>
      <c r="B200" s="20"/>
      <c r="C200" s="20"/>
      <c r="D200" s="20"/>
      <c r="E200" s="20"/>
      <c r="F200" s="21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 x14ac:dyDescent="0.2">
      <c r="A201" s="20"/>
      <c r="B201" s="20"/>
      <c r="C201" s="20"/>
      <c r="D201" s="20"/>
      <c r="E201" s="20"/>
      <c r="F201" s="21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 x14ac:dyDescent="0.2">
      <c r="A202" s="20"/>
      <c r="B202" s="20" t="s">
        <v>13</v>
      </c>
      <c r="C202" s="20"/>
      <c r="D202" s="20"/>
      <c r="E202" s="20"/>
      <c r="F202" s="21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 x14ac:dyDescent="0.2">
      <c r="A203" s="20"/>
      <c r="B203" s="20"/>
      <c r="C203" s="20" t="s">
        <v>79</v>
      </c>
      <c r="D203" s="20"/>
      <c r="E203" s="20"/>
      <c r="F203" s="31">
        <f t="shared" ref="F203:F266" si="36">SUM(H203:L203)</f>
        <v>3333000</v>
      </c>
      <c r="G203" s="20"/>
      <c r="H203" s="25">
        <v>3124000</v>
      </c>
      <c r="I203" s="20"/>
      <c r="J203" s="25">
        <v>155000</v>
      </c>
      <c r="K203" s="20"/>
      <c r="L203" s="25">
        <v>54000</v>
      </c>
      <c r="M203" s="20"/>
      <c r="N203" s="25">
        <v>2206000</v>
      </c>
      <c r="O203" s="20"/>
      <c r="P203" s="25">
        <v>1127000</v>
      </c>
      <c r="Q203" s="20"/>
      <c r="R203" s="25">
        <v>0</v>
      </c>
    </row>
    <row r="204" spans="1:18" x14ac:dyDescent="0.2">
      <c r="A204" s="20"/>
      <c r="B204" s="20"/>
      <c r="C204" s="20" t="s">
        <v>80</v>
      </c>
      <c r="D204" s="20"/>
      <c r="E204" s="20"/>
      <c r="F204" s="31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 x14ac:dyDescent="0.2">
      <c r="A205" s="20"/>
      <c r="B205" s="20"/>
      <c r="C205" s="20"/>
      <c r="D205" s="20"/>
      <c r="E205" s="20" t="s">
        <v>81</v>
      </c>
      <c r="F205" s="31">
        <f t="shared" si="36"/>
        <v>144000</v>
      </c>
      <c r="G205" s="20"/>
      <c r="H205" s="25">
        <v>5000</v>
      </c>
      <c r="I205" s="20"/>
      <c r="J205" s="25">
        <v>0</v>
      </c>
      <c r="K205" s="20"/>
      <c r="L205" s="25">
        <v>139000</v>
      </c>
      <c r="M205" s="20"/>
      <c r="N205" s="25">
        <v>81000</v>
      </c>
      <c r="O205" s="20"/>
      <c r="P205" s="25">
        <v>63000</v>
      </c>
      <c r="Q205" s="20"/>
      <c r="R205" s="25">
        <v>0</v>
      </c>
    </row>
    <row r="206" spans="1:18" x14ac:dyDescent="0.2">
      <c r="A206" s="20"/>
      <c r="B206" s="20"/>
      <c r="C206" s="20" t="s">
        <v>82</v>
      </c>
      <c r="D206" s="20"/>
      <c r="E206" s="20"/>
      <c r="F206" s="31">
        <f t="shared" si="36"/>
        <v>8590000</v>
      </c>
      <c r="G206" s="20"/>
      <c r="H206" s="25">
        <v>7477000</v>
      </c>
      <c r="I206" s="20"/>
      <c r="J206" s="25">
        <v>386000</v>
      </c>
      <c r="K206" s="20"/>
      <c r="L206" s="25">
        <v>727000</v>
      </c>
      <c r="M206" s="20"/>
      <c r="N206" s="25">
        <v>5645000</v>
      </c>
      <c r="O206" s="20"/>
      <c r="P206" s="25">
        <v>2945000</v>
      </c>
      <c r="Q206" s="20"/>
      <c r="R206" s="25">
        <v>0</v>
      </c>
    </row>
    <row r="207" spans="1:18" x14ac:dyDescent="0.2">
      <c r="A207" s="20"/>
      <c r="B207" s="20"/>
      <c r="C207" s="20" t="s">
        <v>83</v>
      </c>
      <c r="D207" s="20"/>
      <c r="E207" s="20"/>
      <c r="F207" s="31">
        <f t="shared" si="36"/>
        <v>536000</v>
      </c>
      <c r="G207" s="20"/>
      <c r="H207" s="25">
        <v>-56000</v>
      </c>
      <c r="I207" s="20"/>
      <c r="J207" s="25">
        <v>133000</v>
      </c>
      <c r="K207" s="20"/>
      <c r="L207" s="25">
        <v>459000</v>
      </c>
      <c r="M207" s="20"/>
      <c r="N207" s="25">
        <v>214000</v>
      </c>
      <c r="O207" s="20"/>
      <c r="P207" s="25">
        <v>322000</v>
      </c>
      <c r="Q207" s="20"/>
      <c r="R207" s="25">
        <v>0</v>
      </c>
    </row>
    <row r="208" spans="1:18" x14ac:dyDescent="0.2">
      <c r="A208" s="20"/>
      <c r="B208" s="20"/>
      <c r="C208" s="20" t="s">
        <v>84</v>
      </c>
      <c r="D208" s="20"/>
      <c r="E208" s="20"/>
      <c r="F208" s="31">
        <f t="shared" si="36"/>
        <v>3752000</v>
      </c>
      <c r="G208" s="20"/>
      <c r="H208" s="25">
        <v>3136000</v>
      </c>
      <c r="I208" s="20"/>
      <c r="J208" s="25">
        <v>251000</v>
      </c>
      <c r="K208" s="20"/>
      <c r="L208" s="25">
        <v>365000</v>
      </c>
      <c r="M208" s="20"/>
      <c r="N208" s="25">
        <v>2366000</v>
      </c>
      <c r="O208" s="20"/>
      <c r="P208" s="25">
        <v>1386000</v>
      </c>
      <c r="Q208" s="20"/>
      <c r="R208" s="25">
        <v>0</v>
      </c>
    </row>
    <row r="209" spans="1:18" x14ac:dyDescent="0.2">
      <c r="A209" s="20"/>
      <c r="B209" s="20"/>
      <c r="C209" s="20" t="s">
        <v>85</v>
      </c>
      <c r="D209" s="20"/>
      <c r="E209" s="20"/>
      <c r="F209" s="31">
        <f t="shared" si="36"/>
        <v>2700000</v>
      </c>
      <c r="G209" s="20"/>
      <c r="H209" s="25">
        <v>2205000</v>
      </c>
      <c r="I209" s="20"/>
      <c r="J209" s="25">
        <v>288000</v>
      </c>
      <c r="K209" s="20"/>
      <c r="L209" s="25">
        <v>207000</v>
      </c>
      <c r="M209" s="20"/>
      <c r="N209" s="25">
        <v>1696000</v>
      </c>
      <c r="O209" s="20"/>
      <c r="P209" s="25">
        <v>1004000</v>
      </c>
      <c r="Q209" s="20"/>
      <c r="R209" s="25">
        <v>0</v>
      </c>
    </row>
    <row r="210" spans="1:18" x14ac:dyDescent="0.2">
      <c r="A210" s="20"/>
      <c r="B210" s="20"/>
      <c r="C210" s="20" t="s">
        <v>86</v>
      </c>
      <c r="D210" s="20"/>
      <c r="E210" s="20"/>
      <c r="F210" s="31">
        <f t="shared" si="36"/>
        <v>5673000</v>
      </c>
      <c r="G210" s="20"/>
      <c r="H210" s="25">
        <v>4331000</v>
      </c>
      <c r="I210" s="20"/>
      <c r="J210" s="25">
        <v>344000</v>
      </c>
      <c r="K210" s="20"/>
      <c r="L210" s="25">
        <v>998000</v>
      </c>
      <c r="M210" s="20"/>
      <c r="N210" s="25">
        <v>3486000</v>
      </c>
      <c r="O210" s="20"/>
      <c r="P210" s="25">
        <v>2187000</v>
      </c>
      <c r="Q210" s="20"/>
      <c r="R210" s="25">
        <v>0</v>
      </c>
    </row>
    <row r="211" spans="1:18" x14ac:dyDescent="0.2">
      <c r="A211" s="20"/>
      <c r="B211" s="20"/>
      <c r="C211" s="20" t="s">
        <v>87</v>
      </c>
      <c r="D211" s="20"/>
      <c r="E211" s="20"/>
      <c r="F211" s="31">
        <f t="shared" si="36"/>
        <v>853000</v>
      </c>
      <c r="G211" s="20"/>
      <c r="H211" s="25">
        <v>482000</v>
      </c>
      <c r="I211" s="20"/>
      <c r="J211" s="25">
        <v>135000</v>
      </c>
      <c r="K211" s="20"/>
      <c r="L211" s="25">
        <v>236000</v>
      </c>
      <c r="M211" s="20"/>
      <c r="N211" s="25">
        <v>499000</v>
      </c>
      <c r="O211" s="20"/>
      <c r="P211" s="25">
        <v>354000</v>
      </c>
      <c r="Q211" s="20"/>
      <c r="R211" s="25">
        <v>0</v>
      </c>
    </row>
    <row r="212" spans="1:18" x14ac:dyDescent="0.2">
      <c r="A212" s="20"/>
      <c r="B212" s="20"/>
      <c r="C212" s="20" t="s">
        <v>88</v>
      </c>
      <c r="D212" s="20"/>
      <c r="E212" s="20"/>
      <c r="F212" s="31">
        <f t="shared" si="36"/>
        <v>3721000</v>
      </c>
      <c r="G212" s="20"/>
      <c r="H212" s="25">
        <v>3631000</v>
      </c>
      <c r="I212" s="20"/>
      <c r="J212" s="25">
        <v>90000</v>
      </c>
      <c r="K212" s="20"/>
      <c r="L212" s="25">
        <v>0</v>
      </c>
      <c r="M212" s="20"/>
      <c r="N212" s="25">
        <v>2456000</v>
      </c>
      <c r="O212" s="20"/>
      <c r="P212" s="25">
        <v>1265000</v>
      </c>
      <c r="Q212" s="20"/>
      <c r="R212" s="25">
        <v>0</v>
      </c>
    </row>
    <row r="213" spans="1:18" x14ac:dyDescent="0.2">
      <c r="A213" s="20"/>
      <c r="B213" s="20"/>
      <c r="C213" s="20" t="s">
        <v>89</v>
      </c>
      <c r="D213" s="20"/>
      <c r="E213" s="20"/>
      <c r="F213" s="31">
        <f t="shared" si="36"/>
        <v>483000</v>
      </c>
      <c r="G213" s="20"/>
      <c r="H213" s="25">
        <v>389000</v>
      </c>
      <c r="I213" s="20"/>
      <c r="J213" s="25">
        <v>68000</v>
      </c>
      <c r="K213" s="20"/>
      <c r="L213" s="25">
        <v>26000</v>
      </c>
      <c r="M213" s="20"/>
      <c r="N213" s="25">
        <v>362000</v>
      </c>
      <c r="O213" s="20"/>
      <c r="P213" s="25">
        <v>121000</v>
      </c>
      <c r="Q213" s="20"/>
      <c r="R213" s="25">
        <v>0</v>
      </c>
    </row>
    <row r="214" spans="1:18" x14ac:dyDescent="0.2">
      <c r="A214" s="20"/>
      <c r="B214" s="20"/>
      <c r="C214" s="20" t="s">
        <v>90</v>
      </c>
      <c r="D214" s="20"/>
      <c r="E214" s="20"/>
      <c r="F214" s="31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1:18" x14ac:dyDescent="0.2">
      <c r="A215" s="20"/>
      <c r="B215" s="20"/>
      <c r="C215" s="20" t="s">
        <v>22</v>
      </c>
      <c r="D215" s="20" t="s">
        <v>22</v>
      </c>
      <c r="E215" s="20" t="s">
        <v>91</v>
      </c>
      <c r="F215" s="31">
        <f t="shared" si="36"/>
        <v>107000</v>
      </c>
      <c r="G215" s="20"/>
      <c r="H215" s="25">
        <v>0</v>
      </c>
      <c r="I215" s="20"/>
      <c r="J215" s="25">
        <v>94000</v>
      </c>
      <c r="K215" s="20"/>
      <c r="L215" s="25">
        <v>13000</v>
      </c>
      <c r="M215" s="20"/>
      <c r="N215" s="25">
        <v>1000</v>
      </c>
      <c r="O215" s="20"/>
      <c r="P215" s="25">
        <v>106000</v>
      </c>
      <c r="Q215" s="20"/>
      <c r="R215" s="25">
        <v>0</v>
      </c>
    </row>
    <row r="216" spans="1:18" x14ac:dyDescent="0.2">
      <c r="A216" s="20"/>
      <c r="B216" s="20"/>
      <c r="C216" s="20" t="s">
        <v>92</v>
      </c>
      <c r="D216" s="20"/>
      <c r="E216" s="20"/>
      <c r="F216" s="31">
        <f t="shared" si="36"/>
        <v>62000</v>
      </c>
      <c r="G216" s="20"/>
      <c r="H216" s="25">
        <v>0</v>
      </c>
      <c r="I216" s="20"/>
      <c r="J216" s="25">
        <v>43000</v>
      </c>
      <c r="K216" s="20"/>
      <c r="L216" s="25">
        <v>19000</v>
      </c>
      <c r="M216" s="20"/>
      <c r="N216" s="25">
        <v>36000</v>
      </c>
      <c r="O216" s="20"/>
      <c r="P216" s="25">
        <v>26000</v>
      </c>
      <c r="Q216" s="20"/>
      <c r="R216" s="25">
        <v>0</v>
      </c>
    </row>
    <row r="217" spans="1:18" x14ac:dyDescent="0.2">
      <c r="A217" s="20"/>
      <c r="B217" s="20"/>
      <c r="C217" s="20" t="s">
        <v>93</v>
      </c>
      <c r="D217" s="20"/>
      <c r="E217" s="20"/>
      <c r="F217" s="31">
        <f t="shared" si="36"/>
        <v>3600000</v>
      </c>
      <c r="G217" s="20"/>
      <c r="H217" s="25">
        <v>2919000</v>
      </c>
      <c r="I217" s="20"/>
      <c r="J217" s="25">
        <v>164000</v>
      </c>
      <c r="K217" s="20"/>
      <c r="L217" s="25">
        <v>517000</v>
      </c>
      <c r="M217" s="20"/>
      <c r="N217" s="25">
        <v>2291000</v>
      </c>
      <c r="O217" s="20"/>
      <c r="P217" s="25">
        <v>1309000</v>
      </c>
      <c r="Q217" s="20"/>
      <c r="R217" s="25">
        <v>0</v>
      </c>
    </row>
    <row r="218" spans="1:18" x14ac:dyDescent="0.2">
      <c r="A218" s="20"/>
      <c r="B218" s="20"/>
      <c r="C218" s="20" t="s">
        <v>94</v>
      </c>
      <c r="D218" s="20"/>
      <c r="E218" s="20"/>
      <c r="F218" s="31">
        <f t="shared" si="36"/>
        <v>2803000</v>
      </c>
      <c r="G218" s="20"/>
      <c r="H218" s="25">
        <v>2183000</v>
      </c>
      <c r="I218" s="20"/>
      <c r="J218" s="25">
        <v>618000</v>
      </c>
      <c r="K218" s="20"/>
      <c r="L218" s="25">
        <v>2000</v>
      </c>
      <c r="M218" s="20"/>
      <c r="N218" s="25">
        <v>1929000</v>
      </c>
      <c r="O218" s="20"/>
      <c r="P218" s="25">
        <v>874000</v>
      </c>
      <c r="Q218" s="20"/>
      <c r="R218" s="25">
        <v>0</v>
      </c>
    </row>
    <row r="219" spans="1:18" x14ac:dyDescent="0.2">
      <c r="A219" s="20"/>
      <c r="B219" s="20"/>
      <c r="C219" s="20" t="s">
        <v>95</v>
      </c>
      <c r="D219" s="20"/>
      <c r="E219" s="20"/>
      <c r="F219" s="31">
        <f t="shared" si="36"/>
        <v>3637000</v>
      </c>
      <c r="G219" s="20"/>
      <c r="H219" s="25">
        <v>3478000</v>
      </c>
      <c r="I219" s="20"/>
      <c r="J219" s="25">
        <v>93000</v>
      </c>
      <c r="K219" s="20"/>
      <c r="L219" s="25">
        <v>66000</v>
      </c>
      <c r="M219" s="20"/>
      <c r="N219" s="25">
        <v>2363000</v>
      </c>
      <c r="O219" s="20"/>
      <c r="P219" s="25">
        <v>1274000</v>
      </c>
      <c r="Q219" s="20"/>
      <c r="R219" s="25">
        <v>0</v>
      </c>
    </row>
    <row r="220" spans="1:18" x14ac:dyDescent="0.2">
      <c r="A220" s="20"/>
      <c r="B220" s="20"/>
      <c r="C220" s="20" t="s">
        <v>96</v>
      </c>
      <c r="D220" s="20"/>
      <c r="E220" s="20"/>
      <c r="F220" s="31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1:18" x14ac:dyDescent="0.2">
      <c r="A221" s="20"/>
      <c r="B221" s="20"/>
      <c r="C221" s="20" t="s">
        <v>22</v>
      </c>
      <c r="D221" s="20" t="s">
        <v>22</v>
      </c>
      <c r="E221" s="20" t="s">
        <v>97</v>
      </c>
      <c r="F221" s="31">
        <f t="shared" si="36"/>
        <v>545000</v>
      </c>
      <c r="G221" s="20"/>
      <c r="H221" s="25">
        <v>532000</v>
      </c>
      <c r="I221" s="20"/>
      <c r="J221" s="25">
        <v>13000</v>
      </c>
      <c r="K221" s="20"/>
      <c r="L221" s="25">
        <v>0</v>
      </c>
      <c r="M221" s="20"/>
      <c r="N221" s="25">
        <v>371000</v>
      </c>
      <c r="O221" s="20"/>
      <c r="P221" s="25">
        <v>174000</v>
      </c>
      <c r="Q221" s="20"/>
      <c r="R221" s="25">
        <v>0</v>
      </c>
    </row>
    <row r="222" spans="1:18" x14ac:dyDescent="0.2">
      <c r="A222" s="20"/>
      <c r="B222" s="20"/>
      <c r="C222" s="20" t="s">
        <v>39</v>
      </c>
      <c r="D222" s="20"/>
      <c r="E222" s="20"/>
      <c r="F222" s="31">
        <f t="shared" si="36"/>
        <v>9066000</v>
      </c>
      <c r="G222" s="20"/>
      <c r="H222" s="25">
        <v>5971000</v>
      </c>
      <c r="I222" s="20"/>
      <c r="J222" s="25">
        <v>1013000</v>
      </c>
      <c r="K222" s="20"/>
      <c r="L222" s="25">
        <v>2082000</v>
      </c>
      <c r="M222" s="20"/>
      <c r="N222" s="25">
        <v>6099000</v>
      </c>
      <c r="O222" s="20"/>
      <c r="P222" s="25">
        <v>3209000</v>
      </c>
      <c r="Q222" s="20"/>
      <c r="R222" s="25">
        <v>242000</v>
      </c>
    </row>
    <row r="223" spans="1:18" x14ac:dyDescent="0.2">
      <c r="A223" s="20"/>
      <c r="B223" s="20"/>
      <c r="C223" s="20" t="s">
        <v>98</v>
      </c>
      <c r="D223" s="20"/>
      <c r="E223" s="20"/>
      <c r="F223" s="31">
        <f t="shared" si="36"/>
        <v>1109000</v>
      </c>
      <c r="G223" s="20"/>
      <c r="H223" s="25">
        <v>1077000</v>
      </c>
      <c r="I223" s="20"/>
      <c r="J223" s="25">
        <v>9000</v>
      </c>
      <c r="K223" s="20"/>
      <c r="L223" s="25">
        <v>23000</v>
      </c>
      <c r="M223" s="20"/>
      <c r="N223" s="25">
        <v>769000</v>
      </c>
      <c r="O223" s="20"/>
      <c r="P223" s="25">
        <v>340000</v>
      </c>
      <c r="Q223" s="20"/>
      <c r="R223" s="25">
        <v>0</v>
      </c>
    </row>
    <row r="224" spans="1:18" x14ac:dyDescent="0.2">
      <c r="A224" s="20"/>
      <c r="B224" s="20"/>
      <c r="C224" s="20" t="s">
        <v>99</v>
      </c>
      <c r="D224" s="20"/>
      <c r="E224" s="20"/>
      <c r="F224" s="31">
        <f t="shared" si="36"/>
        <v>0</v>
      </c>
      <c r="G224" s="20"/>
      <c r="H224" s="25">
        <v>0</v>
      </c>
      <c r="I224" s="20"/>
      <c r="J224" s="25">
        <v>0</v>
      </c>
      <c r="K224" s="20"/>
      <c r="L224" s="25">
        <v>0</v>
      </c>
      <c r="M224" s="20"/>
      <c r="N224" s="25">
        <v>0</v>
      </c>
      <c r="O224" s="20"/>
      <c r="P224" s="25">
        <v>0</v>
      </c>
      <c r="Q224" s="20"/>
      <c r="R224" s="25">
        <v>0</v>
      </c>
    </row>
    <row r="225" spans="1:18" x14ac:dyDescent="0.2">
      <c r="A225" s="20"/>
      <c r="B225" s="20"/>
      <c r="C225" s="20" t="s">
        <v>100</v>
      </c>
      <c r="D225" s="20"/>
      <c r="E225" s="20"/>
      <c r="F225" s="31">
        <f t="shared" si="36"/>
        <v>4675000</v>
      </c>
      <c r="G225" s="20"/>
      <c r="H225" s="25">
        <v>3754000</v>
      </c>
      <c r="I225" s="20"/>
      <c r="J225" s="25">
        <v>392000</v>
      </c>
      <c r="K225" s="20"/>
      <c r="L225" s="25">
        <v>529000</v>
      </c>
      <c r="M225" s="20"/>
      <c r="N225" s="25">
        <v>3090000</v>
      </c>
      <c r="O225" s="20"/>
      <c r="P225" s="25">
        <v>1585000</v>
      </c>
      <c r="Q225" s="20"/>
      <c r="R225" s="25">
        <v>0</v>
      </c>
    </row>
    <row r="226" spans="1:18" x14ac:dyDescent="0.2">
      <c r="A226" s="20"/>
      <c r="B226" s="20"/>
      <c r="C226" s="20" t="s">
        <v>101</v>
      </c>
      <c r="D226" s="20"/>
      <c r="E226" s="20"/>
      <c r="F226" s="31">
        <f t="shared" si="36"/>
        <v>6010000</v>
      </c>
      <c r="G226" s="20"/>
      <c r="H226" s="25">
        <v>5219000</v>
      </c>
      <c r="I226" s="20"/>
      <c r="J226" s="25">
        <v>566000</v>
      </c>
      <c r="K226" s="20"/>
      <c r="L226" s="25">
        <v>225000</v>
      </c>
      <c r="M226" s="20"/>
      <c r="N226" s="25">
        <v>3936000</v>
      </c>
      <c r="O226" s="20"/>
      <c r="P226" s="25">
        <v>2076000</v>
      </c>
      <c r="Q226" s="20"/>
      <c r="R226" s="25">
        <v>2000</v>
      </c>
    </row>
    <row r="227" spans="1:18" x14ac:dyDescent="0.2">
      <c r="A227" s="20"/>
      <c r="B227" s="20"/>
      <c r="C227" s="20" t="s">
        <v>102</v>
      </c>
      <c r="D227" s="20"/>
      <c r="E227" s="20"/>
      <c r="F227" s="31">
        <f t="shared" si="36"/>
        <v>6841000</v>
      </c>
      <c r="G227" s="20"/>
      <c r="H227" s="25">
        <v>5393000</v>
      </c>
      <c r="I227" s="20"/>
      <c r="J227" s="25">
        <v>590000</v>
      </c>
      <c r="K227" s="20"/>
      <c r="L227" s="25">
        <v>858000</v>
      </c>
      <c r="M227" s="20"/>
      <c r="N227" s="25">
        <v>4498000</v>
      </c>
      <c r="O227" s="20"/>
      <c r="P227" s="25">
        <v>2343000</v>
      </c>
      <c r="Q227" s="20"/>
      <c r="R227" s="25">
        <v>0</v>
      </c>
    </row>
    <row r="228" spans="1:18" x14ac:dyDescent="0.2">
      <c r="A228" s="20"/>
      <c r="B228" s="20"/>
      <c r="C228" s="20" t="s">
        <v>103</v>
      </c>
      <c r="D228" s="20"/>
      <c r="E228" s="20"/>
      <c r="F228" s="31">
        <f t="shared" si="36"/>
        <v>21817000</v>
      </c>
      <c r="G228" s="20"/>
      <c r="H228" s="25">
        <v>17815000</v>
      </c>
      <c r="I228" s="20"/>
      <c r="J228" s="25">
        <v>1941000</v>
      </c>
      <c r="K228" s="20"/>
      <c r="L228" s="25">
        <v>2061000</v>
      </c>
      <c r="M228" s="20"/>
      <c r="N228" s="25">
        <v>14293000</v>
      </c>
      <c r="O228" s="20"/>
      <c r="P228" s="25">
        <v>7524000</v>
      </c>
      <c r="Q228" s="20"/>
      <c r="R228" s="25">
        <v>0</v>
      </c>
    </row>
    <row r="229" spans="1:18" x14ac:dyDescent="0.2">
      <c r="A229" s="20"/>
      <c r="B229" s="20"/>
      <c r="C229" s="20" t="s">
        <v>104</v>
      </c>
      <c r="D229" s="20"/>
      <c r="E229" s="20"/>
      <c r="F229" s="31">
        <f t="shared" si="36"/>
        <v>322000</v>
      </c>
      <c r="G229" s="20"/>
      <c r="H229" s="25">
        <v>322000</v>
      </c>
      <c r="I229" s="20"/>
      <c r="J229" s="25">
        <v>0</v>
      </c>
      <c r="K229" s="20"/>
      <c r="L229" s="25">
        <v>0</v>
      </c>
      <c r="M229" s="20"/>
      <c r="N229" s="25">
        <v>225000</v>
      </c>
      <c r="O229" s="20"/>
      <c r="P229" s="25">
        <v>97000</v>
      </c>
      <c r="Q229" s="20"/>
      <c r="R229" s="25">
        <v>0</v>
      </c>
    </row>
    <row r="230" spans="1:18" x14ac:dyDescent="0.2">
      <c r="A230" s="20"/>
      <c r="B230" s="20"/>
      <c r="C230" s="20" t="s">
        <v>105</v>
      </c>
      <c r="D230" s="20"/>
      <c r="E230" s="20"/>
      <c r="F230" s="31">
        <f t="shared" si="36"/>
        <v>14515000</v>
      </c>
      <c r="G230" s="20"/>
      <c r="H230" s="25">
        <v>13077000</v>
      </c>
      <c r="I230" s="20"/>
      <c r="J230" s="25">
        <v>939000</v>
      </c>
      <c r="K230" s="20"/>
      <c r="L230" s="25">
        <v>499000</v>
      </c>
      <c r="M230" s="20"/>
      <c r="N230" s="25">
        <v>9720000</v>
      </c>
      <c r="O230" s="20"/>
      <c r="P230" s="25">
        <v>4795000</v>
      </c>
      <c r="Q230" s="20"/>
      <c r="R230" s="25">
        <v>0</v>
      </c>
    </row>
    <row r="231" spans="1:18" x14ac:dyDescent="0.2">
      <c r="A231" s="20"/>
      <c r="B231" s="20"/>
      <c r="C231" s="20" t="s">
        <v>106</v>
      </c>
      <c r="D231" s="20"/>
      <c r="E231" s="20"/>
      <c r="F231" s="31">
        <f t="shared" si="36"/>
        <v>5896000</v>
      </c>
      <c r="G231" s="20"/>
      <c r="H231" s="25">
        <v>5360000</v>
      </c>
      <c r="I231" s="20"/>
      <c r="J231" s="25">
        <v>405000</v>
      </c>
      <c r="K231" s="20"/>
      <c r="L231" s="25">
        <v>131000</v>
      </c>
      <c r="M231" s="20"/>
      <c r="N231" s="25">
        <v>3943000</v>
      </c>
      <c r="O231" s="20"/>
      <c r="P231" s="25">
        <v>1953000</v>
      </c>
      <c r="Q231" s="20"/>
      <c r="R231" s="25">
        <v>0</v>
      </c>
    </row>
    <row r="232" spans="1:18" x14ac:dyDescent="0.2">
      <c r="A232" s="20"/>
      <c r="B232" s="20"/>
      <c r="C232" s="20" t="s">
        <v>107</v>
      </c>
      <c r="D232" s="20"/>
      <c r="E232" s="20"/>
      <c r="F232" s="31">
        <f t="shared" si="36"/>
        <v>2707000</v>
      </c>
      <c r="G232" s="20"/>
      <c r="H232" s="25">
        <v>2172000</v>
      </c>
      <c r="I232" s="20"/>
      <c r="J232" s="25">
        <v>467000</v>
      </c>
      <c r="K232" s="20"/>
      <c r="L232" s="25">
        <v>68000</v>
      </c>
      <c r="M232" s="20"/>
      <c r="N232" s="25">
        <v>1707000</v>
      </c>
      <c r="O232" s="20"/>
      <c r="P232" s="25">
        <v>1000000</v>
      </c>
      <c r="Q232" s="20"/>
      <c r="R232" s="25">
        <v>0</v>
      </c>
    </row>
    <row r="233" spans="1:18" x14ac:dyDescent="0.2">
      <c r="A233" s="20"/>
      <c r="B233" s="20"/>
      <c r="C233" s="20" t="s">
        <v>108</v>
      </c>
      <c r="D233" s="20"/>
      <c r="E233" s="20"/>
      <c r="F233" s="31">
        <f t="shared" si="36"/>
        <v>4040000</v>
      </c>
      <c r="G233" s="20"/>
      <c r="H233" s="25">
        <v>3733000</v>
      </c>
      <c r="I233" s="20"/>
      <c r="J233" s="25">
        <v>217000</v>
      </c>
      <c r="K233" s="20"/>
      <c r="L233" s="25">
        <v>90000</v>
      </c>
      <c r="M233" s="20"/>
      <c r="N233" s="25">
        <v>2700000</v>
      </c>
      <c r="O233" s="20"/>
      <c r="P233" s="25">
        <v>1340000</v>
      </c>
      <c r="Q233" s="20"/>
      <c r="R233" s="25">
        <v>0</v>
      </c>
    </row>
    <row r="234" spans="1:18" x14ac:dyDescent="0.2">
      <c r="A234" s="20"/>
      <c r="B234" s="20"/>
      <c r="C234" s="20" t="s">
        <v>109</v>
      </c>
      <c r="D234" s="20"/>
      <c r="E234" s="20"/>
      <c r="F234" s="31">
        <f t="shared" si="36"/>
        <v>3778000</v>
      </c>
      <c r="G234" s="20"/>
      <c r="H234" s="25">
        <v>3371000</v>
      </c>
      <c r="I234" s="20"/>
      <c r="J234" s="25">
        <v>177000</v>
      </c>
      <c r="K234" s="20"/>
      <c r="L234" s="25">
        <v>230000</v>
      </c>
      <c r="M234" s="20"/>
      <c r="N234" s="25">
        <v>2529000</v>
      </c>
      <c r="O234" s="20"/>
      <c r="P234" s="25">
        <v>1249000</v>
      </c>
      <c r="Q234" s="20"/>
      <c r="R234" s="25">
        <v>0</v>
      </c>
    </row>
    <row r="235" spans="1:18" x14ac:dyDescent="0.2">
      <c r="A235" s="20"/>
      <c r="B235" s="20"/>
      <c r="C235" s="20" t="s">
        <v>110</v>
      </c>
      <c r="D235" s="20"/>
      <c r="E235" s="20"/>
      <c r="F235" s="31">
        <f t="shared" si="36"/>
        <v>2934000</v>
      </c>
      <c r="G235" s="20"/>
      <c r="H235" s="25">
        <v>2761000</v>
      </c>
      <c r="I235" s="20"/>
      <c r="J235" s="25">
        <v>74000</v>
      </c>
      <c r="K235" s="20"/>
      <c r="L235" s="25">
        <v>99000</v>
      </c>
      <c r="M235" s="20"/>
      <c r="N235" s="25">
        <v>1924000</v>
      </c>
      <c r="O235" s="20"/>
      <c r="P235" s="25">
        <v>1010000</v>
      </c>
      <c r="Q235" s="20"/>
      <c r="R235" s="25">
        <v>0</v>
      </c>
    </row>
    <row r="236" spans="1:18" x14ac:dyDescent="0.2">
      <c r="A236" s="20"/>
      <c r="B236" s="20"/>
      <c r="C236" s="20" t="s">
        <v>111</v>
      </c>
      <c r="D236" s="20"/>
      <c r="E236" s="20"/>
      <c r="F236" s="31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1:18" x14ac:dyDescent="0.2">
      <c r="A237" s="20"/>
      <c r="B237" s="20"/>
      <c r="C237" s="20"/>
      <c r="D237" s="20"/>
      <c r="E237" s="20" t="s">
        <v>97</v>
      </c>
      <c r="F237" s="31">
        <f t="shared" si="36"/>
        <v>557000</v>
      </c>
      <c r="G237" s="20"/>
      <c r="H237" s="25">
        <v>545000</v>
      </c>
      <c r="I237" s="20"/>
      <c r="J237" s="25">
        <v>5000</v>
      </c>
      <c r="K237" s="20"/>
      <c r="L237" s="25">
        <v>7000</v>
      </c>
      <c r="M237" s="20"/>
      <c r="N237" s="25">
        <v>365000</v>
      </c>
      <c r="O237" s="20"/>
      <c r="P237" s="25">
        <v>192000</v>
      </c>
      <c r="Q237" s="20"/>
      <c r="R237" s="25">
        <v>0</v>
      </c>
    </row>
    <row r="238" spans="1:18" x14ac:dyDescent="0.2">
      <c r="A238" s="20"/>
      <c r="B238" s="20"/>
      <c r="C238" s="20" t="s">
        <v>112</v>
      </c>
      <c r="D238" s="20"/>
      <c r="E238" s="20"/>
      <c r="F238" s="31">
        <f t="shared" si="36"/>
        <v>14499000</v>
      </c>
      <c r="G238" s="20"/>
      <c r="H238" s="25">
        <v>12110000</v>
      </c>
      <c r="I238" s="20"/>
      <c r="J238" s="25">
        <v>1057000</v>
      </c>
      <c r="K238" s="20"/>
      <c r="L238" s="25">
        <v>1332000</v>
      </c>
      <c r="M238" s="20"/>
      <c r="N238" s="25">
        <v>9435000</v>
      </c>
      <c r="O238" s="20"/>
      <c r="P238" s="25">
        <v>5064000</v>
      </c>
      <c r="Q238" s="20"/>
      <c r="R238" s="25">
        <v>0</v>
      </c>
    </row>
    <row r="239" spans="1:18" x14ac:dyDescent="0.2">
      <c r="A239" s="20"/>
      <c r="B239" s="20"/>
      <c r="C239" s="20" t="s">
        <v>113</v>
      </c>
      <c r="D239" s="20"/>
      <c r="E239" s="20"/>
      <c r="F239" s="31">
        <f t="shared" si="36"/>
        <v>542000</v>
      </c>
      <c r="G239" s="20"/>
      <c r="H239" s="25">
        <v>201000</v>
      </c>
      <c r="I239" s="20"/>
      <c r="J239" s="25">
        <v>35000</v>
      </c>
      <c r="K239" s="20"/>
      <c r="L239" s="25">
        <v>306000</v>
      </c>
      <c r="M239" s="20"/>
      <c r="N239" s="25">
        <v>285000</v>
      </c>
      <c r="O239" s="20"/>
      <c r="P239" s="25">
        <v>257000</v>
      </c>
      <c r="Q239" s="20"/>
      <c r="R239" s="25">
        <v>0</v>
      </c>
    </row>
    <row r="240" spans="1:18" x14ac:dyDescent="0.2">
      <c r="A240" s="20"/>
      <c r="B240" s="20"/>
      <c r="C240" s="20" t="s">
        <v>114</v>
      </c>
      <c r="D240" s="20"/>
      <c r="E240" s="20"/>
      <c r="F240" s="31">
        <f t="shared" si="36"/>
        <v>15120000</v>
      </c>
      <c r="G240" s="20"/>
      <c r="H240" s="25">
        <v>11077000</v>
      </c>
      <c r="I240" s="20"/>
      <c r="J240" s="25">
        <v>2320000</v>
      </c>
      <c r="K240" s="20"/>
      <c r="L240" s="25">
        <v>1723000</v>
      </c>
      <c r="M240" s="20"/>
      <c r="N240" s="25">
        <v>8705000</v>
      </c>
      <c r="O240" s="20"/>
      <c r="P240" s="25">
        <v>6415000</v>
      </c>
      <c r="Q240" s="20"/>
      <c r="R240" s="25">
        <v>0</v>
      </c>
    </row>
    <row r="241" spans="1:18" x14ac:dyDescent="0.2">
      <c r="A241" s="20"/>
      <c r="B241" s="20"/>
      <c r="C241" s="20" t="s">
        <v>115</v>
      </c>
      <c r="D241" s="20"/>
      <c r="E241" s="20"/>
      <c r="F241" s="31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1:18" x14ac:dyDescent="0.2">
      <c r="A242" s="20"/>
      <c r="B242" s="20"/>
      <c r="C242" s="20"/>
      <c r="D242" s="20"/>
      <c r="E242" s="20" t="s">
        <v>116</v>
      </c>
      <c r="F242" s="31">
        <f t="shared" si="36"/>
        <v>3294000</v>
      </c>
      <c r="G242" s="20"/>
      <c r="H242" s="25">
        <v>2757000</v>
      </c>
      <c r="I242" s="20"/>
      <c r="J242" s="25">
        <v>373000</v>
      </c>
      <c r="K242" s="20"/>
      <c r="L242" s="25">
        <v>164000</v>
      </c>
      <c r="M242" s="20"/>
      <c r="N242" s="25">
        <v>2071000</v>
      </c>
      <c r="O242" s="20"/>
      <c r="P242" s="25">
        <v>1223000</v>
      </c>
      <c r="Q242" s="20"/>
      <c r="R242" s="25">
        <v>0</v>
      </c>
    </row>
    <row r="243" spans="1:18" x14ac:dyDescent="0.2">
      <c r="A243" s="20"/>
      <c r="B243" s="20"/>
      <c r="C243" s="20" t="s">
        <v>117</v>
      </c>
      <c r="D243" s="20"/>
      <c r="E243" s="20"/>
      <c r="F243" s="31">
        <f t="shared" si="36"/>
        <v>1730000</v>
      </c>
      <c r="G243" s="20"/>
      <c r="H243" s="25">
        <v>1561000</v>
      </c>
      <c r="I243" s="20"/>
      <c r="J243" s="25">
        <v>71000</v>
      </c>
      <c r="K243" s="20"/>
      <c r="L243" s="25">
        <v>98000</v>
      </c>
      <c r="M243" s="20"/>
      <c r="N243" s="25">
        <v>1133000</v>
      </c>
      <c r="O243" s="20"/>
      <c r="P243" s="25">
        <v>597000</v>
      </c>
      <c r="Q243" s="20"/>
      <c r="R243" s="25">
        <v>0</v>
      </c>
    </row>
    <row r="244" spans="1:18" x14ac:dyDescent="0.2">
      <c r="A244" s="20"/>
      <c r="B244" s="20"/>
      <c r="C244" s="20" t="s">
        <v>118</v>
      </c>
      <c r="D244" s="20"/>
      <c r="E244" s="20"/>
      <c r="F244" s="31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1:18" x14ac:dyDescent="0.2">
      <c r="A245" s="20"/>
      <c r="B245" s="20"/>
      <c r="C245" s="20"/>
      <c r="D245" s="20"/>
      <c r="E245" s="20" t="s">
        <v>97</v>
      </c>
      <c r="F245" s="31">
        <f t="shared" si="36"/>
        <v>389000</v>
      </c>
      <c r="G245" s="20"/>
      <c r="H245" s="25">
        <v>388000</v>
      </c>
      <c r="I245" s="20"/>
      <c r="J245" s="25">
        <v>0</v>
      </c>
      <c r="K245" s="20"/>
      <c r="L245" s="25">
        <v>1000</v>
      </c>
      <c r="M245" s="20"/>
      <c r="N245" s="25">
        <v>262000</v>
      </c>
      <c r="O245" s="20"/>
      <c r="P245" s="25">
        <v>127000</v>
      </c>
      <c r="Q245" s="20"/>
      <c r="R245" s="25">
        <v>0</v>
      </c>
    </row>
    <row r="246" spans="1:18" x14ac:dyDescent="0.2">
      <c r="A246" s="20"/>
      <c r="B246" s="20"/>
      <c r="C246" s="20" t="s">
        <v>119</v>
      </c>
      <c r="D246" s="20"/>
      <c r="E246" s="20"/>
      <c r="F246" s="31">
        <f t="shared" si="36"/>
        <v>270000</v>
      </c>
      <c r="G246" s="20"/>
      <c r="H246" s="25">
        <v>65000</v>
      </c>
      <c r="I246" s="20"/>
      <c r="J246" s="25">
        <v>63000</v>
      </c>
      <c r="K246" s="20"/>
      <c r="L246" s="25">
        <v>142000</v>
      </c>
      <c r="M246" s="20"/>
      <c r="N246" s="25">
        <v>182000</v>
      </c>
      <c r="O246" s="20"/>
      <c r="P246" s="25">
        <v>88000</v>
      </c>
      <c r="Q246" s="20"/>
      <c r="R246" s="25">
        <v>0</v>
      </c>
    </row>
    <row r="247" spans="1:18" x14ac:dyDescent="0.2">
      <c r="A247" s="20"/>
      <c r="B247" s="20"/>
      <c r="C247" s="20" t="s">
        <v>120</v>
      </c>
      <c r="D247" s="20"/>
      <c r="E247" s="20"/>
      <c r="F247" s="31">
        <f t="shared" si="36"/>
        <v>1062000</v>
      </c>
      <c r="G247" s="20"/>
      <c r="H247" s="25">
        <v>895000</v>
      </c>
      <c r="I247" s="20"/>
      <c r="J247" s="25">
        <v>113000</v>
      </c>
      <c r="K247" s="20"/>
      <c r="L247" s="25">
        <v>54000</v>
      </c>
      <c r="M247" s="20"/>
      <c r="N247" s="25">
        <v>687000</v>
      </c>
      <c r="O247" s="20"/>
      <c r="P247" s="25">
        <v>388000</v>
      </c>
      <c r="Q247" s="20"/>
      <c r="R247" s="25">
        <v>13000</v>
      </c>
    </row>
    <row r="248" spans="1:18" x14ac:dyDescent="0.2">
      <c r="A248" s="20"/>
      <c r="B248" s="20"/>
      <c r="C248" s="20" t="s">
        <v>121</v>
      </c>
      <c r="D248" s="20"/>
      <c r="E248" s="20"/>
      <c r="F248" s="31">
        <f t="shared" si="36"/>
        <v>3628000</v>
      </c>
      <c r="G248" s="20"/>
      <c r="H248" s="25">
        <v>3076000</v>
      </c>
      <c r="I248" s="20"/>
      <c r="J248" s="25">
        <v>429000</v>
      </c>
      <c r="K248" s="20"/>
      <c r="L248" s="25">
        <v>123000</v>
      </c>
      <c r="M248" s="20"/>
      <c r="N248" s="25">
        <v>2375000</v>
      </c>
      <c r="O248" s="20"/>
      <c r="P248" s="25">
        <v>1253000</v>
      </c>
      <c r="Q248" s="20"/>
      <c r="R248" s="25">
        <v>0</v>
      </c>
    </row>
    <row r="249" spans="1:18" x14ac:dyDescent="0.2">
      <c r="A249" s="20"/>
      <c r="B249" s="20"/>
      <c r="C249" s="20" t="s">
        <v>122</v>
      </c>
      <c r="D249" s="20"/>
      <c r="E249" s="20"/>
      <c r="F249" s="31">
        <f t="shared" si="36"/>
        <v>20055000</v>
      </c>
      <c r="G249" s="20"/>
      <c r="H249" s="25">
        <v>16721000</v>
      </c>
      <c r="I249" s="20"/>
      <c r="J249" s="25">
        <v>2928000</v>
      </c>
      <c r="K249" s="20"/>
      <c r="L249" s="25">
        <v>406000</v>
      </c>
      <c r="M249" s="20"/>
      <c r="N249" s="25">
        <v>13253000</v>
      </c>
      <c r="O249" s="20"/>
      <c r="P249" s="25">
        <v>6802000</v>
      </c>
      <c r="Q249" s="20"/>
      <c r="R249" s="25">
        <v>0</v>
      </c>
    </row>
    <row r="250" spans="1:18" x14ac:dyDescent="0.2">
      <c r="A250" s="20"/>
      <c r="B250" s="20"/>
      <c r="C250" s="20" t="s">
        <v>123</v>
      </c>
      <c r="D250" s="20"/>
      <c r="E250" s="20"/>
      <c r="F250" s="31">
        <f t="shared" si="36"/>
        <v>13000</v>
      </c>
      <c r="G250" s="20"/>
      <c r="H250" s="25">
        <v>0</v>
      </c>
      <c r="I250" s="20"/>
      <c r="J250" s="25">
        <v>-1000</v>
      </c>
      <c r="K250" s="20"/>
      <c r="L250" s="25">
        <v>14000</v>
      </c>
      <c r="M250" s="20"/>
      <c r="N250" s="25">
        <v>0</v>
      </c>
      <c r="O250" s="20"/>
      <c r="P250" s="25">
        <v>13000</v>
      </c>
      <c r="Q250" s="20"/>
      <c r="R250" s="25">
        <v>0</v>
      </c>
    </row>
    <row r="251" spans="1:18" x14ac:dyDescent="0.2">
      <c r="A251" s="20"/>
      <c r="B251" s="20"/>
      <c r="C251" s="20" t="s">
        <v>124</v>
      </c>
      <c r="D251" s="20"/>
      <c r="E251" s="20"/>
      <c r="F251" s="31">
        <f t="shared" si="36"/>
        <v>0</v>
      </c>
      <c r="G251" s="20"/>
      <c r="H251" s="25">
        <v>0</v>
      </c>
      <c r="I251" s="20"/>
      <c r="J251" s="25">
        <v>0</v>
      </c>
      <c r="K251" s="20"/>
      <c r="L251" s="25">
        <v>0</v>
      </c>
      <c r="M251" s="20"/>
      <c r="N251" s="25">
        <v>0</v>
      </c>
      <c r="O251" s="20"/>
      <c r="P251" s="25">
        <v>0</v>
      </c>
      <c r="Q251" s="20"/>
      <c r="R251" s="25">
        <v>0</v>
      </c>
    </row>
    <row r="252" spans="1:18" x14ac:dyDescent="0.2">
      <c r="A252" s="20"/>
      <c r="B252" s="20"/>
      <c r="C252" s="20" t="s">
        <v>125</v>
      </c>
      <c r="D252" s="20"/>
      <c r="E252" s="20"/>
      <c r="F252" s="31">
        <f t="shared" si="36"/>
        <v>25256000</v>
      </c>
      <c r="G252" s="20"/>
      <c r="H252" s="25">
        <v>17838000</v>
      </c>
      <c r="I252" s="20"/>
      <c r="J252" s="25">
        <v>3645000</v>
      </c>
      <c r="K252" s="20"/>
      <c r="L252" s="25">
        <v>3773000</v>
      </c>
      <c r="M252" s="20"/>
      <c r="N252" s="25">
        <v>13878000</v>
      </c>
      <c r="O252" s="20"/>
      <c r="P252" s="25">
        <v>11378000</v>
      </c>
      <c r="Q252" s="20"/>
      <c r="R252" s="25">
        <v>0</v>
      </c>
    </row>
    <row r="253" spans="1:18" x14ac:dyDescent="0.2">
      <c r="A253" s="20"/>
      <c r="B253" s="20"/>
      <c r="C253" s="20" t="s">
        <v>126</v>
      </c>
      <c r="D253" s="20"/>
      <c r="E253" s="20"/>
      <c r="F253" s="31">
        <f t="shared" si="36"/>
        <v>6051000</v>
      </c>
      <c r="G253" s="20"/>
      <c r="H253" s="25">
        <v>4622000</v>
      </c>
      <c r="I253" s="20"/>
      <c r="J253" s="25">
        <v>427000</v>
      </c>
      <c r="K253" s="20"/>
      <c r="L253" s="25">
        <v>1002000</v>
      </c>
      <c r="M253" s="20"/>
      <c r="N253" s="25">
        <v>4002000</v>
      </c>
      <c r="O253" s="20"/>
      <c r="P253" s="25">
        <v>2049000</v>
      </c>
      <c r="Q253" s="20"/>
      <c r="R253" s="25">
        <v>0</v>
      </c>
    </row>
    <row r="254" spans="1:18" x14ac:dyDescent="0.2">
      <c r="A254" s="20"/>
      <c r="B254" s="20"/>
      <c r="C254" s="20" t="s">
        <v>127</v>
      </c>
      <c r="D254" s="20"/>
      <c r="E254" s="20"/>
      <c r="F254" s="31">
        <f t="shared" si="36"/>
        <v>4038000</v>
      </c>
      <c r="G254" s="20"/>
      <c r="H254" s="25">
        <v>3401000</v>
      </c>
      <c r="I254" s="20"/>
      <c r="J254" s="25">
        <v>216000</v>
      </c>
      <c r="K254" s="20"/>
      <c r="L254" s="25">
        <v>421000</v>
      </c>
      <c r="M254" s="20"/>
      <c r="N254" s="25">
        <v>2696000</v>
      </c>
      <c r="O254" s="20"/>
      <c r="P254" s="25">
        <v>1342000</v>
      </c>
      <c r="Q254" s="20"/>
      <c r="R254" s="25">
        <v>0</v>
      </c>
    </row>
    <row r="255" spans="1:18" x14ac:dyDescent="0.2">
      <c r="A255" s="20"/>
      <c r="B255" s="20"/>
      <c r="C255" s="20" t="s">
        <v>128</v>
      </c>
      <c r="D255" s="20"/>
      <c r="E255" s="20"/>
      <c r="F255" s="31">
        <f t="shared" si="36"/>
        <v>5933000</v>
      </c>
      <c r="G255" s="20"/>
      <c r="H255" s="25">
        <v>5091000</v>
      </c>
      <c r="I255" s="20"/>
      <c r="J255" s="25">
        <v>282000</v>
      </c>
      <c r="K255" s="20"/>
      <c r="L255" s="25">
        <v>560000</v>
      </c>
      <c r="M255" s="20"/>
      <c r="N255" s="25">
        <v>3915000</v>
      </c>
      <c r="O255" s="20"/>
      <c r="P255" s="25">
        <v>2018000</v>
      </c>
      <c r="Q255" s="20"/>
      <c r="R255" s="25">
        <v>0</v>
      </c>
    </row>
    <row r="256" spans="1:18" x14ac:dyDescent="0.2">
      <c r="A256" s="20"/>
      <c r="B256" s="20"/>
      <c r="C256" s="20" t="s">
        <v>129</v>
      </c>
      <c r="D256" s="20"/>
      <c r="E256" s="20"/>
      <c r="F256" s="31">
        <f t="shared" si="36"/>
        <v>1446000</v>
      </c>
      <c r="G256" s="20"/>
      <c r="H256" s="25">
        <v>1256000</v>
      </c>
      <c r="I256" s="20"/>
      <c r="J256" s="25">
        <v>81000</v>
      </c>
      <c r="K256" s="20"/>
      <c r="L256" s="25">
        <v>109000</v>
      </c>
      <c r="M256" s="20"/>
      <c r="N256" s="25">
        <v>1121000</v>
      </c>
      <c r="O256" s="20"/>
      <c r="P256" s="25">
        <v>325000</v>
      </c>
      <c r="Q256" s="20"/>
      <c r="R256" s="25">
        <v>0</v>
      </c>
    </row>
    <row r="257" spans="1:18" x14ac:dyDescent="0.2">
      <c r="A257" s="20"/>
      <c r="B257" s="20"/>
      <c r="C257" s="20" t="s">
        <v>130</v>
      </c>
      <c r="D257" s="20"/>
      <c r="E257" s="20"/>
      <c r="F257" s="31">
        <f t="shared" si="36"/>
        <v>932000</v>
      </c>
      <c r="G257" s="20"/>
      <c r="H257" s="25">
        <v>560000</v>
      </c>
      <c r="I257" s="20"/>
      <c r="J257" s="25">
        <v>8000</v>
      </c>
      <c r="K257" s="20"/>
      <c r="L257" s="25">
        <v>364000</v>
      </c>
      <c r="M257" s="20"/>
      <c r="N257" s="25">
        <v>590000</v>
      </c>
      <c r="O257" s="20"/>
      <c r="P257" s="25">
        <v>343000</v>
      </c>
      <c r="Q257" s="20"/>
      <c r="R257" s="25">
        <v>1000</v>
      </c>
    </row>
    <row r="258" spans="1:18" x14ac:dyDescent="0.2">
      <c r="A258" s="20"/>
      <c r="B258" s="20"/>
      <c r="C258" s="20" t="s">
        <v>131</v>
      </c>
      <c r="D258" s="20"/>
      <c r="E258" s="20"/>
      <c r="F258" s="31">
        <f t="shared" si="36"/>
        <v>21976000</v>
      </c>
      <c r="G258" s="20"/>
      <c r="H258" s="25">
        <v>16115000</v>
      </c>
      <c r="I258" s="20"/>
      <c r="J258" s="25">
        <v>3840000</v>
      </c>
      <c r="K258" s="20"/>
      <c r="L258" s="25">
        <v>2021000</v>
      </c>
      <c r="M258" s="20"/>
      <c r="N258" s="25">
        <v>13970000</v>
      </c>
      <c r="O258" s="20"/>
      <c r="P258" s="25">
        <v>8510000</v>
      </c>
      <c r="Q258" s="20"/>
      <c r="R258" s="25">
        <v>504000</v>
      </c>
    </row>
    <row r="259" spans="1:18" x14ac:dyDescent="0.2">
      <c r="A259" s="20"/>
      <c r="B259" s="20"/>
      <c r="C259" s="20" t="s">
        <v>132</v>
      </c>
      <c r="D259" s="20"/>
      <c r="E259" s="20"/>
      <c r="F259" s="31">
        <f t="shared" si="36"/>
        <v>11818000</v>
      </c>
      <c r="G259" s="20"/>
      <c r="H259" s="25">
        <v>10981000</v>
      </c>
      <c r="I259" s="20"/>
      <c r="J259" s="25">
        <v>391000</v>
      </c>
      <c r="K259" s="20"/>
      <c r="L259" s="25">
        <v>446000</v>
      </c>
      <c r="M259" s="20"/>
      <c r="N259" s="25">
        <v>7696000</v>
      </c>
      <c r="O259" s="20"/>
      <c r="P259" s="25">
        <v>4122000</v>
      </c>
      <c r="Q259" s="20"/>
      <c r="R259" s="25">
        <v>0</v>
      </c>
    </row>
    <row r="260" spans="1:18" x14ac:dyDescent="0.2">
      <c r="A260" s="20"/>
      <c r="B260" s="20"/>
      <c r="C260" s="20" t="s">
        <v>133</v>
      </c>
      <c r="D260" s="20"/>
      <c r="E260" s="20"/>
      <c r="F260" s="31">
        <f t="shared" si="36"/>
        <v>12841000</v>
      </c>
      <c r="G260" s="20"/>
      <c r="H260" s="25">
        <v>10766000</v>
      </c>
      <c r="I260" s="20"/>
      <c r="J260" s="25">
        <v>1657000</v>
      </c>
      <c r="K260" s="20"/>
      <c r="L260" s="25">
        <v>418000</v>
      </c>
      <c r="M260" s="20"/>
      <c r="N260" s="25">
        <v>8583000</v>
      </c>
      <c r="O260" s="20"/>
      <c r="P260" s="25">
        <v>4265000</v>
      </c>
      <c r="Q260" s="20"/>
      <c r="R260" s="25">
        <v>7000</v>
      </c>
    </row>
    <row r="261" spans="1:18" x14ac:dyDescent="0.2">
      <c r="A261" s="20"/>
      <c r="B261" s="20"/>
      <c r="C261" s="20" t="s">
        <v>134</v>
      </c>
      <c r="D261" s="20"/>
      <c r="E261" s="20"/>
      <c r="F261" s="31">
        <f t="shared" si="36"/>
        <v>3365000</v>
      </c>
      <c r="G261" s="20"/>
      <c r="H261" s="25">
        <v>3144000</v>
      </c>
      <c r="I261" s="20"/>
      <c r="J261" s="25">
        <v>190000</v>
      </c>
      <c r="K261" s="20"/>
      <c r="L261" s="25">
        <v>31000</v>
      </c>
      <c r="M261" s="20"/>
      <c r="N261" s="25">
        <v>2242000</v>
      </c>
      <c r="O261" s="20"/>
      <c r="P261" s="25">
        <v>1123000</v>
      </c>
      <c r="Q261" s="20"/>
      <c r="R261" s="25">
        <v>0</v>
      </c>
    </row>
    <row r="262" spans="1:18" x14ac:dyDescent="0.2">
      <c r="A262" s="20"/>
      <c r="B262" s="20"/>
      <c r="C262" s="20" t="s">
        <v>135</v>
      </c>
      <c r="D262" s="20"/>
      <c r="E262" s="20"/>
      <c r="F262" s="31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1:18" x14ac:dyDescent="0.2">
      <c r="A263" s="20"/>
      <c r="B263" s="20"/>
      <c r="C263" s="20"/>
      <c r="D263" s="20"/>
      <c r="E263" s="20" t="s">
        <v>97</v>
      </c>
      <c r="F263" s="31">
        <f t="shared" si="36"/>
        <v>679000</v>
      </c>
      <c r="G263" s="20"/>
      <c r="H263" s="25">
        <v>667000</v>
      </c>
      <c r="I263" s="20"/>
      <c r="J263" s="25">
        <v>11000</v>
      </c>
      <c r="K263" s="20"/>
      <c r="L263" s="25">
        <v>1000</v>
      </c>
      <c r="M263" s="20"/>
      <c r="N263" s="25">
        <v>459000</v>
      </c>
      <c r="O263" s="20"/>
      <c r="P263" s="25">
        <v>220000</v>
      </c>
      <c r="Q263" s="20"/>
      <c r="R263" s="25">
        <v>0</v>
      </c>
    </row>
    <row r="264" spans="1:18" x14ac:dyDescent="0.2">
      <c r="A264" s="20"/>
      <c r="B264" s="20"/>
      <c r="C264" s="20" t="s">
        <v>136</v>
      </c>
      <c r="D264" s="20"/>
      <c r="E264" s="20"/>
      <c r="F264" s="31">
        <f t="shared" si="36"/>
        <v>364000</v>
      </c>
      <c r="G264" s="20"/>
      <c r="H264" s="25">
        <v>257000</v>
      </c>
      <c r="I264" s="20"/>
      <c r="J264" s="25">
        <v>32000</v>
      </c>
      <c r="K264" s="20"/>
      <c r="L264" s="25">
        <v>75000</v>
      </c>
      <c r="M264" s="20"/>
      <c r="N264" s="25">
        <v>150000</v>
      </c>
      <c r="O264" s="20"/>
      <c r="P264" s="25">
        <v>214000</v>
      </c>
      <c r="Q264" s="20"/>
      <c r="R264" s="25">
        <v>0</v>
      </c>
    </row>
    <row r="265" spans="1:18" x14ac:dyDescent="0.2">
      <c r="A265" s="20"/>
      <c r="B265" s="20"/>
      <c r="C265" s="20" t="s">
        <v>137</v>
      </c>
      <c r="D265" s="20"/>
      <c r="E265" s="20"/>
      <c r="F265" s="31">
        <f t="shared" si="36"/>
        <v>1683000</v>
      </c>
      <c r="G265" s="20"/>
      <c r="H265" s="25">
        <v>1524000</v>
      </c>
      <c r="I265" s="20"/>
      <c r="J265" s="25">
        <v>124000</v>
      </c>
      <c r="K265" s="20"/>
      <c r="L265" s="25">
        <v>35000</v>
      </c>
      <c r="M265" s="20"/>
      <c r="N265" s="25">
        <v>1136000</v>
      </c>
      <c r="O265" s="20"/>
      <c r="P265" s="25">
        <v>547000</v>
      </c>
      <c r="Q265" s="20"/>
      <c r="R265" s="25">
        <v>0</v>
      </c>
    </row>
    <row r="266" spans="1:18" x14ac:dyDescent="0.2">
      <c r="A266" s="20"/>
      <c r="B266" s="20"/>
      <c r="C266" s="20" t="s">
        <v>138</v>
      </c>
      <c r="D266" s="20"/>
      <c r="E266" s="20"/>
      <c r="F266" s="31">
        <f t="shared" si="36"/>
        <v>2333000</v>
      </c>
      <c r="G266" s="20"/>
      <c r="H266" s="25">
        <v>2093000</v>
      </c>
      <c r="I266" s="20"/>
      <c r="J266" s="25">
        <v>31000</v>
      </c>
      <c r="K266" s="20"/>
      <c r="L266" s="25">
        <v>209000</v>
      </c>
      <c r="M266" s="20"/>
      <c r="N266" s="25">
        <v>1598000</v>
      </c>
      <c r="O266" s="20"/>
      <c r="P266" s="25">
        <v>735000</v>
      </c>
      <c r="Q266" s="20"/>
      <c r="R266" s="25">
        <v>0</v>
      </c>
    </row>
    <row r="267" spans="1:18" x14ac:dyDescent="0.2">
      <c r="A267" s="20"/>
      <c r="B267" s="20"/>
      <c r="C267" s="20" t="s">
        <v>139</v>
      </c>
      <c r="D267" s="20"/>
      <c r="E267" s="20"/>
      <c r="F267" s="31">
        <f t="shared" ref="F267:F278" si="37">SUM(H267:L267)</f>
        <v>110000</v>
      </c>
      <c r="G267" s="20"/>
      <c r="H267" s="25">
        <v>69000</v>
      </c>
      <c r="I267" s="20"/>
      <c r="J267" s="25">
        <v>11000</v>
      </c>
      <c r="K267" s="20"/>
      <c r="L267" s="25">
        <v>30000</v>
      </c>
      <c r="M267" s="20"/>
      <c r="N267" s="25">
        <v>49000</v>
      </c>
      <c r="O267" s="20"/>
      <c r="P267" s="25">
        <v>61000</v>
      </c>
      <c r="Q267" s="20"/>
      <c r="R267" s="25">
        <v>0</v>
      </c>
    </row>
    <row r="268" spans="1:18" x14ac:dyDescent="0.2">
      <c r="A268" s="20"/>
      <c r="B268" s="20"/>
      <c r="C268" s="20" t="s">
        <v>140</v>
      </c>
      <c r="D268" s="20"/>
      <c r="E268" s="20"/>
      <c r="F268" s="31">
        <f t="shared" si="37"/>
        <v>764000</v>
      </c>
      <c r="G268" s="20"/>
      <c r="H268" s="25">
        <v>430000</v>
      </c>
      <c r="I268" s="20"/>
      <c r="J268" s="25">
        <v>16000</v>
      </c>
      <c r="K268" s="20"/>
      <c r="L268" s="25">
        <v>318000</v>
      </c>
      <c r="M268" s="20"/>
      <c r="N268" s="25">
        <v>290000</v>
      </c>
      <c r="O268" s="20"/>
      <c r="P268" s="25">
        <v>477000</v>
      </c>
      <c r="Q268" s="20"/>
      <c r="R268" s="25">
        <v>3000</v>
      </c>
    </row>
    <row r="269" spans="1:18" x14ac:dyDescent="0.2">
      <c r="A269" s="20"/>
      <c r="B269" s="20"/>
      <c r="C269" s="20" t="s">
        <v>141</v>
      </c>
      <c r="D269" s="20"/>
      <c r="E269" s="20"/>
      <c r="F269" s="31">
        <f t="shared" si="37"/>
        <v>11926000</v>
      </c>
      <c r="G269" s="20"/>
      <c r="H269" s="25">
        <v>8937000</v>
      </c>
      <c r="I269" s="20"/>
      <c r="J269" s="25">
        <v>2624000</v>
      </c>
      <c r="K269" s="20"/>
      <c r="L269" s="25">
        <v>365000</v>
      </c>
      <c r="M269" s="20"/>
      <c r="N269" s="25">
        <v>7430000</v>
      </c>
      <c r="O269" s="20"/>
      <c r="P269" s="25">
        <v>4496000</v>
      </c>
      <c r="Q269" s="20"/>
      <c r="R269" s="25">
        <v>0</v>
      </c>
    </row>
    <row r="270" spans="1:18" x14ac:dyDescent="0.2">
      <c r="A270" s="20"/>
      <c r="B270" s="20"/>
      <c r="C270" s="20" t="s">
        <v>142</v>
      </c>
      <c r="D270" s="20"/>
      <c r="E270" s="20"/>
      <c r="F270" s="31">
        <f t="shared" si="37"/>
        <v>3112000</v>
      </c>
      <c r="G270" s="20"/>
      <c r="H270" s="25">
        <v>2139000</v>
      </c>
      <c r="I270" s="20"/>
      <c r="J270" s="25">
        <v>406000</v>
      </c>
      <c r="K270" s="20"/>
      <c r="L270" s="25">
        <v>567000</v>
      </c>
      <c r="M270" s="20"/>
      <c r="N270" s="25">
        <v>2135000</v>
      </c>
      <c r="O270" s="20"/>
      <c r="P270" s="25">
        <v>977000</v>
      </c>
      <c r="Q270" s="20"/>
      <c r="R270" s="25">
        <v>0</v>
      </c>
    </row>
    <row r="271" spans="1:18" x14ac:dyDescent="0.2">
      <c r="A271" s="20"/>
      <c r="B271" s="20"/>
      <c r="C271" s="20" t="s">
        <v>143</v>
      </c>
      <c r="D271" s="20"/>
      <c r="E271" s="20"/>
      <c r="F271" s="31">
        <f t="shared" si="37"/>
        <v>3448000</v>
      </c>
      <c r="G271" s="20"/>
      <c r="H271" s="25">
        <v>2882000</v>
      </c>
      <c r="I271" s="20"/>
      <c r="J271" s="25">
        <v>475000</v>
      </c>
      <c r="K271" s="20"/>
      <c r="L271" s="25">
        <v>91000</v>
      </c>
      <c r="M271" s="20"/>
      <c r="N271" s="25">
        <v>2249000</v>
      </c>
      <c r="O271" s="20"/>
      <c r="P271" s="25">
        <v>1199000</v>
      </c>
      <c r="Q271" s="20"/>
      <c r="R271" s="25">
        <v>0</v>
      </c>
    </row>
    <row r="272" spans="1:18" x14ac:dyDescent="0.2">
      <c r="A272" s="20"/>
      <c r="B272" s="20"/>
      <c r="C272" s="20" t="s">
        <v>144</v>
      </c>
      <c r="D272" s="20"/>
      <c r="E272" s="20"/>
      <c r="F272" s="31">
        <f t="shared" si="37"/>
        <v>9138000</v>
      </c>
      <c r="G272" s="20"/>
      <c r="H272" s="25">
        <v>7869000</v>
      </c>
      <c r="I272" s="20"/>
      <c r="J272" s="25">
        <v>1072000</v>
      </c>
      <c r="K272" s="20"/>
      <c r="L272" s="25">
        <v>197000</v>
      </c>
      <c r="M272" s="20"/>
      <c r="N272" s="25">
        <v>6199000</v>
      </c>
      <c r="O272" s="20"/>
      <c r="P272" s="25">
        <v>2939000</v>
      </c>
      <c r="Q272" s="20"/>
      <c r="R272" s="25">
        <v>0</v>
      </c>
    </row>
    <row r="273" spans="1:18" x14ac:dyDescent="0.2">
      <c r="A273" s="20"/>
      <c r="B273" s="20"/>
      <c r="C273" s="20" t="s">
        <v>145</v>
      </c>
      <c r="D273" s="20"/>
      <c r="E273" s="20"/>
      <c r="F273" s="31">
        <f t="shared" si="37"/>
        <v>169000</v>
      </c>
      <c r="G273" s="20"/>
      <c r="H273" s="25">
        <v>0</v>
      </c>
      <c r="I273" s="20"/>
      <c r="J273" s="25">
        <v>0</v>
      </c>
      <c r="K273" s="20"/>
      <c r="L273" s="25">
        <v>169000</v>
      </c>
      <c r="M273" s="20"/>
      <c r="N273" s="25">
        <v>143000</v>
      </c>
      <c r="O273" s="20"/>
      <c r="P273" s="25">
        <v>26000</v>
      </c>
      <c r="Q273" s="20"/>
      <c r="R273" s="25">
        <v>0</v>
      </c>
    </row>
    <row r="274" spans="1:18" x14ac:dyDescent="0.2">
      <c r="A274" s="20"/>
      <c r="B274" s="20"/>
      <c r="C274" s="20" t="s">
        <v>146</v>
      </c>
      <c r="D274" s="20"/>
      <c r="E274" s="20"/>
      <c r="F274" s="31">
        <f t="shared" si="37"/>
        <v>3036750</v>
      </c>
      <c r="G274" s="20"/>
      <c r="H274" s="25">
        <v>2465750</v>
      </c>
      <c r="I274" s="20"/>
      <c r="J274" s="25">
        <v>535000</v>
      </c>
      <c r="K274" s="20"/>
      <c r="L274" s="25">
        <v>36000</v>
      </c>
      <c r="M274" s="20"/>
      <c r="N274" s="25">
        <v>2014750</v>
      </c>
      <c r="O274" s="20"/>
      <c r="P274" s="25">
        <v>1022000</v>
      </c>
      <c r="Q274" s="20"/>
      <c r="R274" s="25">
        <v>0</v>
      </c>
    </row>
    <row r="275" spans="1:18" x14ac:dyDescent="0.2">
      <c r="A275" s="20"/>
      <c r="B275" s="20"/>
      <c r="C275" s="20" t="s">
        <v>147</v>
      </c>
      <c r="D275" s="20"/>
      <c r="E275" s="20"/>
      <c r="F275" s="31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1:18" x14ac:dyDescent="0.2">
      <c r="A276" s="20"/>
      <c r="B276" s="20"/>
      <c r="C276" s="20"/>
      <c r="D276" s="20"/>
      <c r="E276" s="20" t="s">
        <v>148</v>
      </c>
      <c r="F276" s="31">
        <f t="shared" si="37"/>
        <v>7053000</v>
      </c>
      <c r="G276" s="20"/>
      <c r="H276" s="25">
        <v>5506000</v>
      </c>
      <c r="I276" s="20"/>
      <c r="J276" s="25">
        <v>361000</v>
      </c>
      <c r="K276" s="20"/>
      <c r="L276" s="25">
        <v>1186000</v>
      </c>
      <c r="M276" s="20"/>
      <c r="N276" s="25">
        <v>4331500</v>
      </c>
      <c r="O276" s="20"/>
      <c r="P276" s="25">
        <v>2721500</v>
      </c>
      <c r="Q276" s="20"/>
      <c r="R276" s="25">
        <v>0</v>
      </c>
    </row>
    <row r="277" spans="1:18" x14ac:dyDescent="0.2">
      <c r="A277" s="20"/>
      <c r="B277" s="20"/>
      <c r="C277" s="20" t="s">
        <v>149</v>
      </c>
      <c r="D277" s="20"/>
      <c r="E277" s="20"/>
      <c r="F277" s="31">
        <f t="shared" si="37"/>
        <v>0</v>
      </c>
      <c r="G277" s="20"/>
      <c r="H277" s="25">
        <v>0</v>
      </c>
      <c r="I277" s="20"/>
      <c r="J277" s="25">
        <v>0</v>
      </c>
      <c r="K277" s="20"/>
      <c r="L277" s="25">
        <v>0</v>
      </c>
      <c r="M277" s="20"/>
      <c r="N277" s="25">
        <v>0</v>
      </c>
      <c r="O277" s="20"/>
      <c r="P277" s="25">
        <v>0</v>
      </c>
      <c r="Q277" s="20"/>
      <c r="R277" s="25">
        <v>0</v>
      </c>
    </row>
    <row r="278" spans="1:18" x14ac:dyDescent="0.2">
      <c r="A278" s="20"/>
      <c r="B278" s="20"/>
      <c r="C278" s="20" t="s">
        <v>150</v>
      </c>
      <c r="D278" s="20"/>
      <c r="E278" s="20"/>
      <c r="F278" s="28">
        <f t="shared" si="37"/>
        <v>1978000</v>
      </c>
      <c r="G278" s="20"/>
      <c r="H278" s="27">
        <v>1905000</v>
      </c>
      <c r="I278" s="20"/>
      <c r="J278" s="27">
        <v>32000</v>
      </c>
      <c r="K278" s="20"/>
      <c r="L278" s="27">
        <v>41000</v>
      </c>
      <c r="M278" s="20"/>
      <c r="N278" s="27">
        <v>1297000</v>
      </c>
      <c r="O278" s="20"/>
      <c r="P278" s="27">
        <v>681000</v>
      </c>
      <c r="Q278" s="20"/>
      <c r="R278" s="27">
        <v>0</v>
      </c>
    </row>
    <row r="279" spans="1:18" x14ac:dyDescent="0.2">
      <c r="A279" s="20"/>
      <c r="B279" s="20"/>
      <c r="C279" s="20"/>
      <c r="D279" s="20"/>
      <c r="E279" s="20" t="s">
        <v>22</v>
      </c>
      <c r="F279" s="21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1:18" x14ac:dyDescent="0.2">
      <c r="A280" s="20"/>
      <c r="B280" s="20"/>
      <c r="C280" s="20"/>
      <c r="D280" s="20"/>
      <c r="E280" s="20" t="s">
        <v>3</v>
      </c>
      <c r="F280" s="28">
        <f>SUM(F203:F279)</f>
        <v>324857750</v>
      </c>
      <c r="G280" s="27">
        <f t="shared" ref="G280:R280" si="38">SUM(G203:G279)</f>
        <v>0</v>
      </c>
      <c r="H280" s="27">
        <f t="shared" si="38"/>
        <v>263774750</v>
      </c>
      <c r="I280" s="27">
        <f t="shared" si="38"/>
        <v>0</v>
      </c>
      <c r="J280" s="27">
        <f t="shared" si="38"/>
        <v>33525000</v>
      </c>
      <c r="K280" s="27">
        <f t="shared" si="38"/>
        <v>0</v>
      </c>
      <c r="L280" s="27">
        <f t="shared" si="38"/>
        <v>27558000</v>
      </c>
      <c r="M280" s="27">
        <f t="shared" si="38"/>
        <v>0</v>
      </c>
      <c r="N280" s="27">
        <f t="shared" si="38"/>
        <v>208362250</v>
      </c>
      <c r="O280" s="27">
        <f t="shared" si="38"/>
        <v>0</v>
      </c>
      <c r="P280" s="27">
        <f t="shared" si="38"/>
        <v>117267500</v>
      </c>
      <c r="Q280" s="27">
        <f t="shared" si="38"/>
        <v>0</v>
      </c>
      <c r="R280" s="27">
        <f t="shared" si="38"/>
        <v>772000</v>
      </c>
    </row>
    <row r="281" spans="1:18" x14ac:dyDescent="0.2">
      <c r="A281" s="20"/>
      <c r="B281" s="20"/>
      <c r="C281" s="20"/>
      <c r="D281" s="20"/>
      <c r="E281" s="20"/>
      <c r="F281" s="21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1:18" x14ac:dyDescent="0.2">
      <c r="A282" s="20"/>
      <c r="B282" s="20" t="s">
        <v>24</v>
      </c>
      <c r="C282" s="20"/>
      <c r="D282" s="20"/>
      <c r="E282" s="20"/>
      <c r="F282" s="21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1:18" x14ac:dyDescent="0.2">
      <c r="A283" s="20"/>
      <c r="B283" s="20"/>
      <c r="C283" s="20" t="s">
        <v>79</v>
      </c>
      <c r="D283" s="20"/>
      <c r="E283" s="20"/>
      <c r="F283" s="31">
        <f t="shared" ref="F283:F335" si="39">SUM(H283:L283)</f>
        <v>149000</v>
      </c>
      <c r="G283" s="20"/>
      <c r="H283" s="25">
        <v>1000</v>
      </c>
      <c r="I283" s="20"/>
      <c r="J283" s="25">
        <v>66000</v>
      </c>
      <c r="K283" s="20"/>
      <c r="L283" s="25">
        <v>82000</v>
      </c>
      <c r="M283" s="20"/>
      <c r="N283" s="25">
        <v>56000</v>
      </c>
      <c r="O283" s="20"/>
      <c r="P283" s="25">
        <v>93000</v>
      </c>
      <c r="Q283" s="20"/>
      <c r="R283" s="25">
        <v>0</v>
      </c>
    </row>
    <row r="284" spans="1:18" x14ac:dyDescent="0.2">
      <c r="A284" s="20"/>
      <c r="B284" s="20"/>
      <c r="C284" s="20" t="s">
        <v>82</v>
      </c>
      <c r="D284" s="20"/>
      <c r="E284" s="20"/>
      <c r="F284" s="31">
        <f t="shared" si="39"/>
        <v>218000</v>
      </c>
      <c r="G284" s="20"/>
      <c r="H284" s="25">
        <v>60000</v>
      </c>
      <c r="I284" s="20"/>
      <c r="J284" s="25">
        <v>5000</v>
      </c>
      <c r="K284" s="20"/>
      <c r="L284" s="25">
        <v>153000</v>
      </c>
      <c r="M284" s="20"/>
      <c r="N284" s="25">
        <v>106000</v>
      </c>
      <c r="O284" s="20"/>
      <c r="P284" s="25">
        <v>112000</v>
      </c>
      <c r="Q284" s="20"/>
      <c r="R284" s="25">
        <v>0</v>
      </c>
    </row>
    <row r="285" spans="1:18" x14ac:dyDescent="0.2">
      <c r="A285" s="20"/>
      <c r="B285" s="20"/>
      <c r="C285" s="20" t="s">
        <v>84</v>
      </c>
      <c r="D285" s="20"/>
      <c r="E285" s="20"/>
      <c r="F285" s="31">
        <f t="shared" si="39"/>
        <v>8000</v>
      </c>
      <c r="G285" s="20"/>
      <c r="H285" s="25">
        <v>0</v>
      </c>
      <c r="I285" s="20"/>
      <c r="J285" s="25">
        <v>0</v>
      </c>
      <c r="K285" s="20"/>
      <c r="L285" s="25">
        <v>8000</v>
      </c>
      <c r="M285" s="20"/>
      <c r="N285" s="25">
        <v>0</v>
      </c>
      <c r="O285" s="20"/>
      <c r="P285" s="25">
        <v>8000</v>
      </c>
      <c r="Q285" s="20"/>
      <c r="R285" s="25">
        <v>0</v>
      </c>
    </row>
    <row r="286" spans="1:18" x14ac:dyDescent="0.2">
      <c r="A286" s="20"/>
      <c r="B286" s="20"/>
      <c r="C286" s="20" t="s">
        <v>85</v>
      </c>
      <c r="D286" s="20"/>
      <c r="E286" s="20"/>
      <c r="F286" s="31">
        <f t="shared" si="39"/>
        <v>31000</v>
      </c>
      <c r="G286" s="20"/>
      <c r="H286" s="25">
        <v>0</v>
      </c>
      <c r="I286" s="20"/>
      <c r="J286" s="25">
        <v>22000</v>
      </c>
      <c r="K286" s="20"/>
      <c r="L286" s="25">
        <v>9000</v>
      </c>
      <c r="M286" s="20"/>
      <c r="N286" s="25">
        <v>0</v>
      </c>
      <c r="O286" s="20"/>
      <c r="P286" s="25">
        <v>31000</v>
      </c>
      <c r="Q286" s="20"/>
      <c r="R286" s="25">
        <v>0</v>
      </c>
    </row>
    <row r="287" spans="1:18" x14ac:dyDescent="0.2">
      <c r="A287" s="20"/>
      <c r="B287" s="20"/>
      <c r="C287" s="20" t="s">
        <v>83</v>
      </c>
      <c r="D287" s="20"/>
      <c r="E287" s="20"/>
      <c r="F287" s="31">
        <f t="shared" si="39"/>
        <v>758000</v>
      </c>
      <c r="G287" s="20"/>
      <c r="H287" s="25">
        <v>1000</v>
      </c>
      <c r="I287" s="20"/>
      <c r="J287" s="25">
        <v>0</v>
      </c>
      <c r="K287" s="20"/>
      <c r="L287" s="25">
        <v>757000</v>
      </c>
      <c r="M287" s="20"/>
      <c r="N287" s="25">
        <v>537000</v>
      </c>
      <c r="O287" s="20"/>
      <c r="P287" s="25">
        <v>221000</v>
      </c>
      <c r="Q287" s="20"/>
      <c r="R287" s="25">
        <v>0</v>
      </c>
    </row>
    <row r="288" spans="1:18" x14ac:dyDescent="0.2">
      <c r="A288" s="20"/>
      <c r="B288" s="20"/>
      <c r="C288" s="20" t="s">
        <v>86</v>
      </c>
      <c r="D288" s="20"/>
      <c r="E288" s="20"/>
      <c r="F288" s="31">
        <f t="shared" si="39"/>
        <v>4392000</v>
      </c>
      <c r="G288" s="20"/>
      <c r="H288" s="25">
        <v>29000</v>
      </c>
      <c r="I288" s="20"/>
      <c r="J288" s="25">
        <v>39000</v>
      </c>
      <c r="K288" s="20"/>
      <c r="L288" s="25">
        <v>4324000</v>
      </c>
      <c r="M288" s="20"/>
      <c r="N288" s="25">
        <v>2834000</v>
      </c>
      <c r="O288" s="20"/>
      <c r="P288" s="25">
        <v>1558000</v>
      </c>
      <c r="Q288" s="20"/>
      <c r="R288" s="25">
        <v>0</v>
      </c>
    </row>
    <row r="289" spans="1:18" x14ac:dyDescent="0.2">
      <c r="A289" s="20"/>
      <c r="B289" s="20"/>
      <c r="C289" s="20" t="s">
        <v>87</v>
      </c>
      <c r="D289" s="20"/>
      <c r="E289" s="20"/>
      <c r="F289" s="31">
        <f t="shared" si="39"/>
        <v>1395000</v>
      </c>
      <c r="G289" s="20"/>
      <c r="H289" s="25">
        <v>1000</v>
      </c>
      <c r="I289" s="20"/>
      <c r="J289" s="25">
        <v>15000</v>
      </c>
      <c r="K289" s="20"/>
      <c r="L289" s="25">
        <v>1379000</v>
      </c>
      <c r="M289" s="20"/>
      <c r="N289" s="25">
        <v>408000</v>
      </c>
      <c r="O289" s="20"/>
      <c r="P289" s="25">
        <v>987000</v>
      </c>
      <c r="Q289" s="20"/>
      <c r="R289" s="25">
        <v>0</v>
      </c>
    </row>
    <row r="290" spans="1:18" x14ac:dyDescent="0.2">
      <c r="A290" s="20"/>
      <c r="B290" s="20"/>
      <c r="C290" s="20" t="s">
        <v>92</v>
      </c>
      <c r="D290" s="20"/>
      <c r="E290" s="20"/>
      <c r="F290" s="31">
        <f t="shared" si="39"/>
        <v>3551000</v>
      </c>
      <c r="G290" s="20"/>
      <c r="H290" s="25">
        <v>35000</v>
      </c>
      <c r="I290" s="20"/>
      <c r="J290" s="25">
        <v>-1000</v>
      </c>
      <c r="K290" s="20"/>
      <c r="L290" s="25">
        <v>3517000</v>
      </c>
      <c r="M290" s="20"/>
      <c r="N290" s="25">
        <v>139000</v>
      </c>
      <c r="O290" s="20"/>
      <c r="P290" s="25">
        <v>3412000</v>
      </c>
      <c r="Q290" s="20"/>
      <c r="R290" s="25">
        <v>0</v>
      </c>
    </row>
    <row r="291" spans="1:18" x14ac:dyDescent="0.2">
      <c r="A291" s="20"/>
      <c r="B291" s="20"/>
      <c r="C291" s="20" t="s">
        <v>93</v>
      </c>
      <c r="D291" s="20"/>
      <c r="E291" s="20"/>
      <c r="F291" s="31">
        <f t="shared" si="39"/>
        <v>1000</v>
      </c>
      <c r="G291" s="20"/>
      <c r="H291" s="25">
        <v>0</v>
      </c>
      <c r="I291" s="20"/>
      <c r="J291" s="25">
        <v>0</v>
      </c>
      <c r="K291" s="20"/>
      <c r="L291" s="25">
        <v>1000</v>
      </c>
      <c r="M291" s="20"/>
      <c r="N291" s="25">
        <v>0</v>
      </c>
      <c r="O291" s="20"/>
      <c r="P291" s="25">
        <v>1000</v>
      </c>
      <c r="Q291" s="20"/>
      <c r="R291" s="25">
        <v>0</v>
      </c>
    </row>
    <row r="292" spans="1:18" x14ac:dyDescent="0.2">
      <c r="A292" s="20"/>
      <c r="B292" s="20"/>
      <c r="C292" s="20" t="s">
        <v>95</v>
      </c>
      <c r="D292" s="20"/>
      <c r="E292" s="20"/>
      <c r="F292" s="31">
        <f t="shared" si="39"/>
        <v>0</v>
      </c>
      <c r="G292" s="20"/>
      <c r="H292" s="25">
        <v>0</v>
      </c>
      <c r="I292" s="20"/>
      <c r="J292" s="25">
        <v>0</v>
      </c>
      <c r="K292" s="20"/>
      <c r="L292" s="25">
        <v>0</v>
      </c>
      <c r="M292" s="20"/>
      <c r="N292" s="25">
        <v>0</v>
      </c>
      <c r="O292" s="20"/>
      <c r="P292" s="25">
        <v>0</v>
      </c>
      <c r="Q292" s="20"/>
      <c r="R292" s="25">
        <v>0</v>
      </c>
    </row>
    <row r="293" spans="1:18" x14ac:dyDescent="0.2">
      <c r="A293" s="20"/>
      <c r="B293" s="20"/>
      <c r="C293" s="20" t="s">
        <v>39</v>
      </c>
      <c r="D293" s="20"/>
      <c r="E293" s="20"/>
      <c r="F293" s="31">
        <f t="shared" si="39"/>
        <v>0</v>
      </c>
      <c r="G293" s="20"/>
      <c r="H293" s="25">
        <v>0</v>
      </c>
      <c r="I293" s="20"/>
      <c r="J293" s="25">
        <v>0</v>
      </c>
      <c r="K293" s="20"/>
      <c r="L293" s="25">
        <v>0</v>
      </c>
      <c r="M293" s="20"/>
      <c r="N293" s="25">
        <v>0</v>
      </c>
      <c r="O293" s="20"/>
      <c r="P293" s="25">
        <v>0</v>
      </c>
      <c r="Q293" s="20"/>
      <c r="R293" s="25">
        <v>0</v>
      </c>
    </row>
    <row r="294" spans="1:18" x14ac:dyDescent="0.2">
      <c r="A294" s="20"/>
      <c r="B294" s="20"/>
      <c r="C294" s="20" t="s">
        <v>98</v>
      </c>
      <c r="D294" s="20"/>
      <c r="E294" s="20"/>
      <c r="F294" s="31">
        <f t="shared" si="39"/>
        <v>46000</v>
      </c>
      <c r="G294" s="20"/>
      <c r="H294" s="25">
        <v>35000</v>
      </c>
      <c r="I294" s="20"/>
      <c r="J294" s="25">
        <v>11000</v>
      </c>
      <c r="K294" s="20"/>
      <c r="L294" s="25">
        <v>0</v>
      </c>
      <c r="M294" s="20"/>
      <c r="N294" s="25">
        <v>35000</v>
      </c>
      <c r="O294" s="20"/>
      <c r="P294" s="25">
        <v>11000</v>
      </c>
      <c r="Q294" s="20"/>
      <c r="R294" s="25">
        <v>0</v>
      </c>
    </row>
    <row r="295" spans="1:18" x14ac:dyDescent="0.2">
      <c r="A295" s="20"/>
      <c r="B295" s="20"/>
      <c r="C295" s="20" t="s">
        <v>100</v>
      </c>
      <c r="D295" s="20"/>
      <c r="E295" s="20"/>
      <c r="F295" s="31">
        <f t="shared" si="39"/>
        <v>0</v>
      </c>
      <c r="G295" s="20"/>
      <c r="H295" s="25">
        <v>0</v>
      </c>
      <c r="I295" s="20"/>
      <c r="J295" s="25">
        <v>0</v>
      </c>
      <c r="K295" s="20"/>
      <c r="L295" s="25">
        <v>0</v>
      </c>
      <c r="M295" s="20"/>
      <c r="N295" s="25">
        <v>0</v>
      </c>
      <c r="O295" s="20"/>
      <c r="P295" s="25">
        <v>0</v>
      </c>
      <c r="Q295" s="20"/>
      <c r="R295" s="25">
        <v>0</v>
      </c>
    </row>
    <row r="296" spans="1:18" x14ac:dyDescent="0.2">
      <c r="A296" s="20"/>
      <c r="B296" s="20"/>
      <c r="C296" s="20" t="s">
        <v>101</v>
      </c>
      <c r="D296" s="20"/>
      <c r="E296" s="20"/>
      <c r="F296" s="31">
        <f t="shared" si="39"/>
        <v>6260000</v>
      </c>
      <c r="G296" s="20"/>
      <c r="H296" s="25">
        <v>247000</v>
      </c>
      <c r="I296" s="20"/>
      <c r="J296" s="25">
        <v>379000</v>
      </c>
      <c r="K296" s="20"/>
      <c r="L296" s="25">
        <v>5634000</v>
      </c>
      <c r="M296" s="20"/>
      <c r="N296" s="25">
        <v>2401000</v>
      </c>
      <c r="O296" s="20"/>
      <c r="P296" s="25">
        <v>3870000</v>
      </c>
      <c r="Q296" s="20"/>
      <c r="R296" s="25">
        <v>11000</v>
      </c>
    </row>
    <row r="297" spans="1:18" x14ac:dyDescent="0.2">
      <c r="A297" s="20"/>
      <c r="B297" s="20"/>
      <c r="C297" s="20" t="s">
        <v>151</v>
      </c>
      <c r="D297" s="20"/>
      <c r="E297" s="20"/>
      <c r="F297" s="31">
        <f t="shared" si="39"/>
        <v>68000</v>
      </c>
      <c r="G297" s="20"/>
      <c r="H297" s="25">
        <v>-1000</v>
      </c>
      <c r="I297" s="20"/>
      <c r="J297" s="25">
        <v>3000</v>
      </c>
      <c r="K297" s="20"/>
      <c r="L297" s="25">
        <v>66000</v>
      </c>
      <c r="M297" s="20"/>
      <c r="N297" s="25">
        <v>51000</v>
      </c>
      <c r="O297" s="20"/>
      <c r="P297" s="25">
        <v>17000</v>
      </c>
      <c r="Q297" s="20"/>
      <c r="R297" s="25">
        <v>0</v>
      </c>
    </row>
    <row r="298" spans="1:18" x14ac:dyDescent="0.2">
      <c r="A298" s="20"/>
      <c r="B298" s="20"/>
      <c r="C298" s="20" t="s">
        <v>152</v>
      </c>
      <c r="D298" s="20"/>
      <c r="E298" s="20"/>
      <c r="F298" s="31">
        <f t="shared" si="39"/>
        <v>142000</v>
      </c>
      <c r="G298" s="20"/>
      <c r="H298" s="25">
        <v>8000</v>
      </c>
      <c r="I298" s="20"/>
      <c r="J298" s="25">
        <v>7000</v>
      </c>
      <c r="K298" s="20"/>
      <c r="L298" s="25">
        <v>127000</v>
      </c>
      <c r="M298" s="20"/>
      <c r="N298" s="25">
        <v>91000</v>
      </c>
      <c r="O298" s="20"/>
      <c r="P298" s="25">
        <v>51000</v>
      </c>
      <c r="Q298" s="20"/>
      <c r="R298" s="25">
        <v>0</v>
      </c>
    </row>
    <row r="299" spans="1:18" x14ac:dyDescent="0.2">
      <c r="A299" s="20"/>
      <c r="B299" s="20"/>
      <c r="C299" s="20" t="s">
        <v>153</v>
      </c>
      <c r="D299" s="20"/>
      <c r="E299" s="20"/>
      <c r="F299" s="31">
        <f t="shared" si="39"/>
        <v>0</v>
      </c>
      <c r="G299" s="20"/>
      <c r="H299" s="25">
        <v>0</v>
      </c>
      <c r="I299" s="20"/>
      <c r="J299" s="25">
        <v>0</v>
      </c>
      <c r="K299" s="20"/>
      <c r="L299" s="25">
        <v>0</v>
      </c>
      <c r="M299" s="20"/>
      <c r="N299" s="25">
        <v>0</v>
      </c>
      <c r="O299" s="20"/>
      <c r="P299" s="25">
        <v>0</v>
      </c>
      <c r="Q299" s="20"/>
      <c r="R299" s="25">
        <v>0</v>
      </c>
    </row>
    <row r="300" spans="1:18" x14ac:dyDescent="0.2">
      <c r="A300" s="20"/>
      <c r="B300" s="20"/>
      <c r="C300" s="20" t="s">
        <v>105</v>
      </c>
      <c r="D300" s="20"/>
      <c r="E300" s="20"/>
      <c r="F300" s="31">
        <f t="shared" si="39"/>
        <v>697000</v>
      </c>
      <c r="G300" s="20"/>
      <c r="H300" s="25">
        <v>8000</v>
      </c>
      <c r="I300" s="20"/>
      <c r="J300" s="25">
        <v>220000</v>
      </c>
      <c r="K300" s="20"/>
      <c r="L300" s="25">
        <v>469000</v>
      </c>
      <c r="M300" s="20"/>
      <c r="N300" s="25">
        <v>240000</v>
      </c>
      <c r="O300" s="20"/>
      <c r="P300" s="25">
        <v>457000</v>
      </c>
      <c r="Q300" s="20"/>
      <c r="R300" s="25">
        <v>0</v>
      </c>
    </row>
    <row r="301" spans="1:18" x14ac:dyDescent="0.2">
      <c r="A301" s="20"/>
      <c r="B301" s="20"/>
      <c r="C301" s="20" t="s">
        <v>106</v>
      </c>
      <c r="D301" s="20"/>
      <c r="E301" s="20"/>
      <c r="F301" s="31">
        <f t="shared" si="39"/>
        <v>372000</v>
      </c>
      <c r="G301" s="20"/>
      <c r="H301" s="25">
        <v>24000</v>
      </c>
      <c r="I301" s="20"/>
      <c r="J301" s="25">
        <v>312000</v>
      </c>
      <c r="K301" s="20"/>
      <c r="L301" s="25">
        <v>36000</v>
      </c>
      <c r="M301" s="20"/>
      <c r="N301" s="25">
        <v>207000</v>
      </c>
      <c r="O301" s="20"/>
      <c r="P301" s="25">
        <v>165000</v>
      </c>
      <c r="Q301" s="20"/>
      <c r="R301" s="25">
        <v>0</v>
      </c>
    </row>
    <row r="302" spans="1:18" x14ac:dyDescent="0.2">
      <c r="A302" s="20"/>
      <c r="B302" s="20"/>
      <c r="C302" s="20" t="s">
        <v>107</v>
      </c>
      <c r="D302" s="20"/>
      <c r="E302" s="20"/>
      <c r="F302" s="31">
        <f t="shared" si="39"/>
        <v>0</v>
      </c>
      <c r="G302" s="20"/>
      <c r="H302" s="25">
        <v>0</v>
      </c>
      <c r="I302" s="20"/>
      <c r="J302" s="25">
        <v>0</v>
      </c>
      <c r="K302" s="20"/>
      <c r="L302" s="25">
        <v>0</v>
      </c>
      <c r="M302" s="20"/>
      <c r="N302" s="25">
        <v>0</v>
      </c>
      <c r="O302" s="20"/>
      <c r="P302" s="25">
        <v>0</v>
      </c>
      <c r="Q302" s="20"/>
      <c r="R302" s="25">
        <v>0</v>
      </c>
    </row>
    <row r="303" spans="1:18" x14ac:dyDescent="0.2">
      <c r="A303" s="20"/>
      <c r="B303" s="20"/>
      <c r="C303" s="20" t="s">
        <v>108</v>
      </c>
      <c r="D303" s="20"/>
      <c r="E303" s="20"/>
      <c r="F303" s="31">
        <f t="shared" si="39"/>
        <v>6000</v>
      </c>
      <c r="G303" s="20"/>
      <c r="H303" s="25">
        <v>0</v>
      </c>
      <c r="I303" s="20"/>
      <c r="J303" s="25">
        <v>6000</v>
      </c>
      <c r="K303" s="20"/>
      <c r="L303" s="25">
        <v>0</v>
      </c>
      <c r="M303" s="20"/>
      <c r="N303" s="25">
        <v>0</v>
      </c>
      <c r="O303" s="20"/>
      <c r="P303" s="25">
        <v>6000</v>
      </c>
      <c r="Q303" s="20"/>
      <c r="R303" s="25">
        <v>0</v>
      </c>
    </row>
    <row r="304" spans="1:18" x14ac:dyDescent="0.2">
      <c r="A304" s="20"/>
      <c r="B304" s="20"/>
      <c r="C304" s="20" t="s">
        <v>109</v>
      </c>
      <c r="D304" s="20"/>
      <c r="E304" s="20"/>
      <c r="F304" s="31">
        <f t="shared" si="39"/>
        <v>759000</v>
      </c>
      <c r="G304" s="20"/>
      <c r="H304" s="25">
        <v>34000</v>
      </c>
      <c r="I304" s="20"/>
      <c r="J304" s="25">
        <v>76000</v>
      </c>
      <c r="K304" s="20"/>
      <c r="L304" s="25">
        <v>649000</v>
      </c>
      <c r="M304" s="20"/>
      <c r="N304" s="25">
        <v>380000</v>
      </c>
      <c r="O304" s="20"/>
      <c r="P304" s="25">
        <v>379000</v>
      </c>
      <c r="Q304" s="20"/>
      <c r="R304" s="25">
        <v>0</v>
      </c>
    </row>
    <row r="305" spans="1:18" x14ac:dyDescent="0.2">
      <c r="A305" s="20"/>
      <c r="B305" s="20"/>
      <c r="C305" s="20" t="s">
        <v>110</v>
      </c>
      <c r="D305" s="20"/>
      <c r="E305" s="20"/>
      <c r="F305" s="31">
        <f t="shared" si="39"/>
        <v>64000</v>
      </c>
      <c r="G305" s="20"/>
      <c r="H305" s="25">
        <v>3000</v>
      </c>
      <c r="I305" s="20"/>
      <c r="J305" s="25">
        <v>46000</v>
      </c>
      <c r="K305" s="20"/>
      <c r="L305" s="25">
        <v>15000</v>
      </c>
      <c r="M305" s="20"/>
      <c r="N305" s="25">
        <v>17000</v>
      </c>
      <c r="O305" s="20"/>
      <c r="P305" s="25">
        <v>47000</v>
      </c>
      <c r="Q305" s="20"/>
      <c r="R305" s="25">
        <v>0</v>
      </c>
    </row>
    <row r="306" spans="1:18" x14ac:dyDescent="0.2">
      <c r="A306" s="20"/>
      <c r="B306" s="20"/>
      <c r="C306" s="20" t="s">
        <v>112</v>
      </c>
      <c r="D306" s="20"/>
      <c r="E306" s="20"/>
      <c r="F306" s="31">
        <f t="shared" si="39"/>
        <v>-35000</v>
      </c>
      <c r="G306" s="20"/>
      <c r="H306" s="25">
        <v>0</v>
      </c>
      <c r="I306" s="20"/>
      <c r="J306" s="25">
        <v>0</v>
      </c>
      <c r="K306" s="20"/>
      <c r="L306" s="25">
        <v>-35000</v>
      </c>
      <c r="M306" s="20"/>
      <c r="N306" s="25">
        <v>-19000</v>
      </c>
      <c r="O306" s="20"/>
      <c r="P306" s="25">
        <v>-16000</v>
      </c>
      <c r="Q306" s="20"/>
      <c r="R306" s="25">
        <v>0</v>
      </c>
    </row>
    <row r="307" spans="1:18" x14ac:dyDescent="0.2">
      <c r="A307" s="20"/>
      <c r="B307" s="20"/>
      <c r="C307" s="20" t="s">
        <v>154</v>
      </c>
      <c r="D307" s="20"/>
      <c r="E307" s="20"/>
      <c r="F307" s="31">
        <f t="shared" si="39"/>
        <v>11152000</v>
      </c>
      <c r="G307" s="20"/>
      <c r="H307" s="25">
        <v>3000</v>
      </c>
      <c r="I307" s="20"/>
      <c r="J307" s="25">
        <v>-273000</v>
      </c>
      <c r="K307" s="20"/>
      <c r="L307" s="25">
        <v>11422000</v>
      </c>
      <c r="M307" s="20"/>
      <c r="N307" s="25">
        <v>5502000</v>
      </c>
      <c r="O307" s="20"/>
      <c r="P307" s="25">
        <v>5650000</v>
      </c>
      <c r="Q307" s="20"/>
      <c r="R307" s="25">
        <v>0</v>
      </c>
    </row>
    <row r="308" spans="1:18" x14ac:dyDescent="0.2">
      <c r="A308" s="20"/>
      <c r="B308" s="20"/>
      <c r="C308" s="20" t="s">
        <v>155</v>
      </c>
      <c r="D308" s="20"/>
      <c r="E308" s="20"/>
      <c r="F308" s="31">
        <f t="shared" si="39"/>
        <v>3298000</v>
      </c>
      <c r="G308" s="20"/>
      <c r="H308" s="25">
        <v>40000</v>
      </c>
      <c r="I308" s="20"/>
      <c r="J308" s="25">
        <v>311000</v>
      </c>
      <c r="K308" s="20"/>
      <c r="L308" s="25">
        <v>2947000</v>
      </c>
      <c r="M308" s="20"/>
      <c r="N308" s="25">
        <v>1872000</v>
      </c>
      <c r="O308" s="20"/>
      <c r="P308" s="25">
        <v>1426000</v>
      </c>
      <c r="Q308" s="20"/>
      <c r="R308" s="25">
        <v>0</v>
      </c>
    </row>
    <row r="309" spans="1:18" x14ac:dyDescent="0.2">
      <c r="A309" s="20"/>
      <c r="B309" s="20"/>
      <c r="C309" s="20" t="s">
        <v>156</v>
      </c>
      <c r="D309" s="20"/>
      <c r="E309" s="20"/>
      <c r="F309" s="31">
        <f t="shared" si="39"/>
        <v>0</v>
      </c>
      <c r="G309" s="20"/>
      <c r="H309" s="25">
        <v>0</v>
      </c>
      <c r="I309" s="20"/>
      <c r="J309" s="25">
        <v>0</v>
      </c>
      <c r="K309" s="20"/>
      <c r="L309" s="25">
        <v>0</v>
      </c>
      <c r="M309" s="20"/>
      <c r="N309" s="25">
        <v>0</v>
      </c>
      <c r="O309" s="20"/>
      <c r="P309" s="25">
        <v>0</v>
      </c>
      <c r="Q309" s="20"/>
      <c r="R309" s="25">
        <v>0</v>
      </c>
    </row>
    <row r="310" spans="1:18" x14ac:dyDescent="0.2">
      <c r="A310" s="20"/>
      <c r="B310" s="20"/>
      <c r="C310" s="20" t="s">
        <v>117</v>
      </c>
      <c r="D310" s="20"/>
      <c r="E310" s="20"/>
      <c r="F310" s="31">
        <f t="shared" si="39"/>
        <v>131000</v>
      </c>
      <c r="G310" s="20"/>
      <c r="H310" s="25">
        <v>0</v>
      </c>
      <c r="I310" s="20"/>
      <c r="J310" s="25">
        <v>13000</v>
      </c>
      <c r="K310" s="20"/>
      <c r="L310" s="25">
        <v>118000</v>
      </c>
      <c r="M310" s="20"/>
      <c r="N310" s="25">
        <v>45000</v>
      </c>
      <c r="O310" s="20"/>
      <c r="P310" s="25">
        <v>86000</v>
      </c>
      <c r="Q310" s="20"/>
      <c r="R310" s="25">
        <v>0</v>
      </c>
    </row>
    <row r="311" spans="1:18" x14ac:dyDescent="0.2">
      <c r="A311" s="20"/>
      <c r="B311" s="20"/>
      <c r="C311" s="20" t="s">
        <v>157</v>
      </c>
      <c r="D311" s="20"/>
      <c r="E311" s="20"/>
      <c r="F311" s="31">
        <f t="shared" si="39"/>
        <v>0</v>
      </c>
      <c r="G311" s="20"/>
      <c r="H311" s="25">
        <v>0</v>
      </c>
      <c r="I311" s="20"/>
      <c r="J311" s="25">
        <v>0</v>
      </c>
      <c r="K311" s="20"/>
      <c r="L311" s="25">
        <v>0</v>
      </c>
      <c r="M311" s="20"/>
      <c r="N311" s="25">
        <v>0</v>
      </c>
      <c r="O311" s="20"/>
      <c r="P311" s="25">
        <v>0</v>
      </c>
      <c r="Q311" s="20"/>
      <c r="R311" s="25">
        <v>0</v>
      </c>
    </row>
    <row r="312" spans="1:18" x14ac:dyDescent="0.2">
      <c r="A312" s="20"/>
      <c r="B312" s="20"/>
      <c r="C312" s="20" t="s">
        <v>158</v>
      </c>
      <c r="D312" s="20"/>
      <c r="E312" s="20"/>
      <c r="F312" s="31">
        <f t="shared" si="39"/>
        <v>0</v>
      </c>
      <c r="G312" s="20"/>
      <c r="H312" s="25">
        <v>0</v>
      </c>
      <c r="I312" s="20"/>
      <c r="J312" s="25">
        <v>0</v>
      </c>
      <c r="K312" s="20"/>
      <c r="L312" s="25">
        <v>0</v>
      </c>
      <c r="M312" s="20"/>
      <c r="N312" s="25">
        <v>0</v>
      </c>
      <c r="O312" s="20"/>
      <c r="P312" s="25">
        <v>0</v>
      </c>
      <c r="Q312" s="20"/>
      <c r="R312" s="25">
        <v>0</v>
      </c>
    </row>
    <row r="313" spans="1:18" x14ac:dyDescent="0.2">
      <c r="A313" s="20"/>
      <c r="B313" s="20"/>
      <c r="C313" s="20" t="s">
        <v>159</v>
      </c>
      <c r="D313" s="20"/>
      <c r="E313" s="20"/>
      <c r="F313" s="31">
        <f t="shared" si="39"/>
        <v>171000</v>
      </c>
      <c r="G313" s="20"/>
      <c r="H313" s="25">
        <v>1000</v>
      </c>
      <c r="I313" s="20"/>
      <c r="J313" s="25">
        <v>9000</v>
      </c>
      <c r="K313" s="20"/>
      <c r="L313" s="25">
        <v>161000</v>
      </c>
      <c r="M313" s="20"/>
      <c r="N313" s="25">
        <v>95000</v>
      </c>
      <c r="O313" s="20"/>
      <c r="P313" s="25">
        <v>76000</v>
      </c>
      <c r="Q313" s="20"/>
      <c r="R313" s="25">
        <v>0</v>
      </c>
    </row>
    <row r="314" spans="1:18" x14ac:dyDescent="0.2">
      <c r="A314" s="20"/>
      <c r="B314" s="20"/>
      <c r="C314" s="20" t="s">
        <v>122</v>
      </c>
      <c r="D314" s="20"/>
      <c r="E314" s="20"/>
      <c r="F314" s="31">
        <f t="shared" si="39"/>
        <v>42000</v>
      </c>
      <c r="G314" s="20"/>
      <c r="H314" s="25">
        <v>0</v>
      </c>
      <c r="I314" s="20"/>
      <c r="J314" s="25">
        <v>7000</v>
      </c>
      <c r="K314" s="20"/>
      <c r="L314" s="25">
        <v>35000</v>
      </c>
      <c r="M314" s="20"/>
      <c r="N314" s="25">
        <v>15000</v>
      </c>
      <c r="O314" s="20"/>
      <c r="P314" s="25">
        <v>27000</v>
      </c>
      <c r="Q314" s="20"/>
      <c r="R314" s="25">
        <v>0</v>
      </c>
    </row>
    <row r="315" spans="1:18" x14ac:dyDescent="0.2">
      <c r="A315" s="20"/>
      <c r="B315" s="20"/>
      <c r="C315" s="20" t="s">
        <v>125</v>
      </c>
      <c r="D315" s="20"/>
      <c r="E315" s="20"/>
      <c r="F315" s="31">
        <f t="shared" si="39"/>
        <v>35599000</v>
      </c>
      <c r="G315" s="20"/>
      <c r="H315" s="25">
        <v>176000</v>
      </c>
      <c r="I315" s="20"/>
      <c r="J315" s="25">
        <v>599000</v>
      </c>
      <c r="K315" s="20"/>
      <c r="L315" s="25">
        <v>34824000</v>
      </c>
      <c r="M315" s="20"/>
      <c r="N315" s="25">
        <v>16692000</v>
      </c>
      <c r="O315" s="20"/>
      <c r="P315" s="25">
        <v>18907000</v>
      </c>
      <c r="Q315" s="20"/>
      <c r="R315" s="25">
        <v>0</v>
      </c>
    </row>
    <row r="316" spans="1:18" x14ac:dyDescent="0.2">
      <c r="A316" s="20"/>
      <c r="B316" s="20"/>
      <c r="C316" s="20" t="s">
        <v>160</v>
      </c>
      <c r="D316" s="20"/>
      <c r="E316" s="20"/>
      <c r="F316" s="31">
        <f t="shared" si="39"/>
        <v>323000</v>
      </c>
      <c r="G316" s="20"/>
      <c r="H316" s="25">
        <v>8000</v>
      </c>
      <c r="I316" s="20"/>
      <c r="J316" s="25">
        <v>161000</v>
      </c>
      <c r="K316" s="20"/>
      <c r="L316" s="25">
        <v>154000</v>
      </c>
      <c r="M316" s="20"/>
      <c r="N316" s="25">
        <v>97000</v>
      </c>
      <c r="O316" s="20"/>
      <c r="P316" s="25">
        <v>226000</v>
      </c>
      <c r="Q316" s="20"/>
      <c r="R316" s="25">
        <v>0</v>
      </c>
    </row>
    <row r="317" spans="1:18" x14ac:dyDescent="0.2">
      <c r="A317" s="20"/>
      <c r="B317" s="20"/>
      <c r="C317" s="20" t="s">
        <v>127</v>
      </c>
      <c r="D317" s="20"/>
      <c r="E317" s="20"/>
      <c r="F317" s="31">
        <f t="shared" si="39"/>
        <v>26000</v>
      </c>
      <c r="G317" s="20"/>
      <c r="H317" s="25">
        <v>0</v>
      </c>
      <c r="I317" s="20"/>
      <c r="J317" s="25">
        <v>19000</v>
      </c>
      <c r="K317" s="20"/>
      <c r="L317" s="25">
        <v>7000</v>
      </c>
      <c r="M317" s="20"/>
      <c r="N317" s="25">
        <v>-2000</v>
      </c>
      <c r="O317" s="20"/>
      <c r="P317" s="25">
        <v>28000</v>
      </c>
      <c r="Q317" s="20"/>
      <c r="R317" s="25">
        <v>0</v>
      </c>
    </row>
    <row r="318" spans="1:18" x14ac:dyDescent="0.2">
      <c r="A318" s="20"/>
      <c r="B318" s="20"/>
      <c r="C318" s="20" t="s">
        <v>161</v>
      </c>
      <c r="D318" s="20"/>
      <c r="E318" s="20"/>
      <c r="F318" s="31">
        <f t="shared" si="39"/>
        <v>10000</v>
      </c>
      <c r="G318" s="20"/>
      <c r="H318" s="25">
        <v>0</v>
      </c>
      <c r="I318" s="20"/>
      <c r="J318" s="25">
        <v>0</v>
      </c>
      <c r="K318" s="20"/>
      <c r="L318" s="25">
        <v>10000</v>
      </c>
      <c r="M318" s="20"/>
      <c r="N318" s="25">
        <v>0</v>
      </c>
      <c r="O318" s="20"/>
      <c r="P318" s="25">
        <v>10000</v>
      </c>
      <c r="Q318" s="20"/>
      <c r="R318" s="25">
        <v>0</v>
      </c>
    </row>
    <row r="319" spans="1:18" x14ac:dyDescent="0.2">
      <c r="A319" s="20"/>
      <c r="B319" s="20"/>
      <c r="C319" s="20" t="s">
        <v>130</v>
      </c>
      <c r="D319" s="20"/>
      <c r="E319" s="20"/>
      <c r="F319" s="31">
        <f t="shared" si="39"/>
        <v>402000</v>
      </c>
      <c r="G319" s="20"/>
      <c r="H319" s="25">
        <v>0</v>
      </c>
      <c r="I319" s="20"/>
      <c r="J319" s="25">
        <v>1000</v>
      </c>
      <c r="K319" s="20"/>
      <c r="L319" s="25">
        <v>401000</v>
      </c>
      <c r="M319" s="20"/>
      <c r="N319" s="25">
        <v>162000</v>
      </c>
      <c r="O319" s="20"/>
      <c r="P319" s="25">
        <v>240000</v>
      </c>
      <c r="Q319" s="20"/>
      <c r="R319" s="25">
        <v>0</v>
      </c>
    </row>
    <row r="320" spans="1:18" x14ac:dyDescent="0.2">
      <c r="A320" s="20"/>
      <c r="B320" s="20"/>
      <c r="C320" s="20" t="s">
        <v>131</v>
      </c>
      <c r="D320" s="20"/>
      <c r="E320" s="20"/>
      <c r="F320" s="31">
        <f t="shared" si="39"/>
        <v>18458000</v>
      </c>
      <c r="G320" s="20"/>
      <c r="H320" s="25">
        <v>-56000</v>
      </c>
      <c r="I320" s="20"/>
      <c r="J320" s="25">
        <v>376000</v>
      </c>
      <c r="K320" s="20"/>
      <c r="L320" s="25">
        <v>18138000</v>
      </c>
      <c r="M320" s="20"/>
      <c r="N320" s="25">
        <v>7816000</v>
      </c>
      <c r="O320" s="20"/>
      <c r="P320" s="25">
        <v>10642000</v>
      </c>
      <c r="Q320" s="20"/>
      <c r="R320" s="25">
        <v>0</v>
      </c>
    </row>
    <row r="321" spans="1:18" x14ac:dyDescent="0.2">
      <c r="A321" s="20"/>
      <c r="B321" s="20"/>
      <c r="C321" s="20" t="s">
        <v>132</v>
      </c>
      <c r="D321" s="20"/>
      <c r="E321" s="20"/>
      <c r="F321" s="31">
        <f t="shared" si="39"/>
        <v>831000</v>
      </c>
      <c r="G321" s="20"/>
      <c r="H321" s="25">
        <v>68000</v>
      </c>
      <c r="I321" s="20"/>
      <c r="J321" s="25">
        <v>132000</v>
      </c>
      <c r="K321" s="20"/>
      <c r="L321" s="25">
        <v>631000</v>
      </c>
      <c r="M321" s="20"/>
      <c r="N321" s="25">
        <v>676000</v>
      </c>
      <c r="O321" s="20"/>
      <c r="P321" s="25">
        <v>155000</v>
      </c>
      <c r="Q321" s="20"/>
      <c r="R321" s="25">
        <v>0</v>
      </c>
    </row>
    <row r="322" spans="1:18" x14ac:dyDescent="0.2">
      <c r="A322" s="20"/>
      <c r="B322" s="20"/>
      <c r="C322" s="20" t="s">
        <v>133</v>
      </c>
      <c r="D322" s="20"/>
      <c r="E322" s="20"/>
      <c r="F322" s="31">
        <f t="shared" si="39"/>
        <v>4935000</v>
      </c>
      <c r="G322" s="20"/>
      <c r="H322" s="25">
        <v>-4000</v>
      </c>
      <c r="I322" s="20"/>
      <c r="J322" s="25">
        <v>317000</v>
      </c>
      <c r="K322" s="20"/>
      <c r="L322" s="25">
        <v>4622000</v>
      </c>
      <c r="M322" s="20"/>
      <c r="N322" s="25">
        <v>2535000</v>
      </c>
      <c r="O322" s="20"/>
      <c r="P322" s="25">
        <v>2400000</v>
      </c>
      <c r="Q322" s="20"/>
      <c r="R322" s="25">
        <v>0</v>
      </c>
    </row>
    <row r="323" spans="1:18" x14ac:dyDescent="0.2">
      <c r="A323" s="20"/>
      <c r="B323" s="20"/>
      <c r="C323" s="20" t="s">
        <v>134</v>
      </c>
      <c r="D323" s="20"/>
      <c r="E323" s="20"/>
      <c r="F323" s="31">
        <f t="shared" si="39"/>
        <v>1000</v>
      </c>
      <c r="G323" s="20"/>
      <c r="H323" s="25">
        <v>0</v>
      </c>
      <c r="I323" s="20"/>
      <c r="J323" s="25">
        <v>1000</v>
      </c>
      <c r="K323" s="20"/>
      <c r="L323" s="25">
        <v>0</v>
      </c>
      <c r="M323" s="20"/>
      <c r="N323" s="25">
        <v>1000</v>
      </c>
      <c r="O323" s="20"/>
      <c r="P323" s="25">
        <v>0</v>
      </c>
      <c r="Q323" s="20"/>
      <c r="R323" s="25">
        <v>0</v>
      </c>
    </row>
    <row r="324" spans="1:18" x14ac:dyDescent="0.2">
      <c r="A324" s="20"/>
      <c r="B324" s="20"/>
      <c r="C324" s="20" t="s">
        <v>137</v>
      </c>
      <c r="D324" s="20"/>
      <c r="E324" s="20"/>
      <c r="F324" s="31">
        <f t="shared" si="39"/>
        <v>67000</v>
      </c>
      <c r="G324" s="20"/>
      <c r="H324" s="25">
        <v>1000</v>
      </c>
      <c r="I324" s="20"/>
      <c r="J324" s="25">
        <v>24000</v>
      </c>
      <c r="K324" s="20"/>
      <c r="L324" s="25">
        <v>42000</v>
      </c>
      <c r="M324" s="20"/>
      <c r="N324" s="25">
        <v>2000</v>
      </c>
      <c r="O324" s="20"/>
      <c r="P324" s="25">
        <v>65000</v>
      </c>
      <c r="Q324" s="20"/>
      <c r="R324" s="25">
        <v>0</v>
      </c>
    </row>
    <row r="325" spans="1:18" x14ac:dyDescent="0.2">
      <c r="A325" s="20"/>
      <c r="B325" s="20"/>
      <c r="C325" s="20" t="s">
        <v>138</v>
      </c>
      <c r="D325" s="20"/>
      <c r="E325" s="20"/>
      <c r="F325" s="31">
        <f t="shared" si="39"/>
        <v>50000</v>
      </c>
      <c r="G325" s="20"/>
      <c r="H325" s="25">
        <v>0</v>
      </c>
      <c r="I325" s="20"/>
      <c r="J325" s="25">
        <v>20000</v>
      </c>
      <c r="K325" s="20"/>
      <c r="L325" s="25">
        <v>30000</v>
      </c>
      <c r="M325" s="20"/>
      <c r="N325" s="25">
        <v>3000</v>
      </c>
      <c r="O325" s="20"/>
      <c r="P325" s="25">
        <v>47000</v>
      </c>
      <c r="Q325" s="20"/>
      <c r="R325" s="25">
        <v>0</v>
      </c>
    </row>
    <row r="326" spans="1:18" x14ac:dyDescent="0.2">
      <c r="A326" s="20"/>
      <c r="B326" s="20"/>
      <c r="C326" s="20" t="s">
        <v>139</v>
      </c>
      <c r="D326" s="20"/>
      <c r="E326" s="20"/>
      <c r="F326" s="31">
        <f t="shared" si="39"/>
        <v>0</v>
      </c>
      <c r="G326" s="20"/>
      <c r="H326" s="25">
        <v>0</v>
      </c>
      <c r="I326" s="20"/>
      <c r="J326" s="25">
        <v>0</v>
      </c>
      <c r="K326" s="20"/>
      <c r="L326" s="25">
        <v>0</v>
      </c>
      <c r="M326" s="20"/>
      <c r="N326" s="25">
        <v>0</v>
      </c>
      <c r="O326" s="20"/>
      <c r="P326" s="25">
        <v>0</v>
      </c>
      <c r="Q326" s="20"/>
      <c r="R326" s="25">
        <v>0</v>
      </c>
    </row>
    <row r="327" spans="1:18" x14ac:dyDescent="0.2">
      <c r="A327" s="20"/>
      <c r="B327" s="20"/>
      <c r="C327" s="20" t="s">
        <v>140</v>
      </c>
      <c r="D327" s="20"/>
      <c r="E327" s="20"/>
      <c r="F327" s="31">
        <f t="shared" si="39"/>
        <v>331000</v>
      </c>
      <c r="G327" s="20"/>
      <c r="H327" s="25">
        <v>121000</v>
      </c>
      <c r="I327" s="20"/>
      <c r="J327" s="25">
        <v>-35000</v>
      </c>
      <c r="K327" s="20"/>
      <c r="L327" s="25">
        <v>245000</v>
      </c>
      <c r="M327" s="20"/>
      <c r="N327" s="25">
        <v>145000</v>
      </c>
      <c r="O327" s="20"/>
      <c r="P327" s="25">
        <v>186000</v>
      </c>
      <c r="Q327" s="20"/>
      <c r="R327" s="25">
        <v>0</v>
      </c>
    </row>
    <row r="328" spans="1:18" x14ac:dyDescent="0.2">
      <c r="A328" s="20"/>
      <c r="B328" s="20"/>
      <c r="C328" s="20" t="s">
        <v>141</v>
      </c>
      <c r="D328" s="20"/>
      <c r="E328" s="20"/>
      <c r="F328" s="31">
        <f t="shared" si="39"/>
        <v>30000</v>
      </c>
      <c r="G328" s="20"/>
      <c r="H328" s="25">
        <v>0</v>
      </c>
      <c r="I328" s="20"/>
      <c r="J328" s="25">
        <v>0</v>
      </c>
      <c r="K328" s="20"/>
      <c r="L328" s="25">
        <v>30000</v>
      </c>
      <c r="M328" s="20"/>
      <c r="N328" s="25">
        <v>19000</v>
      </c>
      <c r="O328" s="20"/>
      <c r="P328" s="25">
        <v>11000</v>
      </c>
      <c r="Q328" s="20"/>
      <c r="R328" s="25">
        <v>0</v>
      </c>
    </row>
    <row r="329" spans="1:18" x14ac:dyDescent="0.2">
      <c r="A329" s="20"/>
      <c r="B329" s="20"/>
      <c r="C329" s="20" t="s">
        <v>142</v>
      </c>
      <c r="D329" s="20"/>
      <c r="E329" s="20"/>
      <c r="F329" s="31">
        <f t="shared" si="39"/>
        <v>0</v>
      </c>
      <c r="G329" s="20"/>
      <c r="H329" s="25">
        <v>0</v>
      </c>
      <c r="I329" s="20"/>
      <c r="J329" s="25">
        <v>0</v>
      </c>
      <c r="K329" s="20"/>
      <c r="L329" s="25">
        <v>0</v>
      </c>
      <c r="M329" s="20"/>
      <c r="N329" s="25">
        <v>0</v>
      </c>
      <c r="O329" s="20"/>
      <c r="P329" s="25">
        <v>0</v>
      </c>
      <c r="Q329" s="20"/>
      <c r="R329" s="25">
        <v>0</v>
      </c>
    </row>
    <row r="330" spans="1:18" x14ac:dyDescent="0.2">
      <c r="A330" s="20"/>
      <c r="B330" s="20"/>
      <c r="C330" s="20" t="s">
        <v>143</v>
      </c>
      <c r="D330" s="20"/>
      <c r="E330" s="20"/>
      <c r="F330" s="31">
        <f t="shared" si="39"/>
        <v>87000</v>
      </c>
      <c r="G330" s="20"/>
      <c r="H330" s="25">
        <v>0</v>
      </c>
      <c r="I330" s="20"/>
      <c r="J330" s="25">
        <v>60000</v>
      </c>
      <c r="K330" s="20"/>
      <c r="L330" s="25">
        <v>27000</v>
      </c>
      <c r="M330" s="20"/>
      <c r="N330" s="25">
        <v>3000</v>
      </c>
      <c r="O330" s="20"/>
      <c r="P330" s="25">
        <v>84000</v>
      </c>
      <c r="Q330" s="20"/>
      <c r="R330" s="25">
        <v>0</v>
      </c>
    </row>
    <row r="331" spans="1:18" x14ac:dyDescent="0.2">
      <c r="A331" s="20"/>
      <c r="B331" s="20"/>
      <c r="C331" s="20" t="s">
        <v>144</v>
      </c>
      <c r="D331" s="20"/>
      <c r="E331" s="20"/>
      <c r="F331" s="31">
        <f t="shared" si="39"/>
        <v>1929000</v>
      </c>
      <c r="G331" s="20"/>
      <c r="H331" s="25">
        <v>4000</v>
      </c>
      <c r="I331" s="20"/>
      <c r="J331" s="25">
        <v>59000</v>
      </c>
      <c r="K331" s="20"/>
      <c r="L331" s="25">
        <v>1866000</v>
      </c>
      <c r="M331" s="20"/>
      <c r="N331" s="25">
        <v>1087000</v>
      </c>
      <c r="O331" s="20"/>
      <c r="P331" s="25">
        <v>842000</v>
      </c>
      <c r="Q331" s="20"/>
      <c r="R331" s="25">
        <v>0</v>
      </c>
    </row>
    <row r="332" spans="1:18" x14ac:dyDescent="0.2">
      <c r="A332" s="20"/>
      <c r="B332" s="20"/>
      <c r="C332" s="20" t="s">
        <v>162</v>
      </c>
      <c r="D332" s="20"/>
      <c r="E332" s="20"/>
      <c r="F332" s="31">
        <f t="shared" si="39"/>
        <v>926000</v>
      </c>
      <c r="G332" s="20"/>
      <c r="H332" s="25">
        <v>65000</v>
      </c>
      <c r="I332" s="20"/>
      <c r="J332" s="25">
        <v>85000</v>
      </c>
      <c r="K332" s="20"/>
      <c r="L332" s="25">
        <v>776000</v>
      </c>
      <c r="M332" s="20"/>
      <c r="N332" s="25">
        <v>539000</v>
      </c>
      <c r="O332" s="20"/>
      <c r="P332" s="25">
        <v>387000</v>
      </c>
      <c r="Q332" s="20"/>
      <c r="R332" s="25">
        <v>0</v>
      </c>
    </row>
    <row r="333" spans="1:18" x14ac:dyDescent="0.2">
      <c r="A333" s="20"/>
      <c r="B333" s="20"/>
      <c r="C333" s="20" t="s">
        <v>163</v>
      </c>
      <c r="D333" s="20"/>
      <c r="E333" s="20"/>
      <c r="F333" s="31">
        <f t="shared" si="39"/>
        <v>1000</v>
      </c>
      <c r="G333" s="20"/>
      <c r="H333" s="25">
        <v>0</v>
      </c>
      <c r="I333" s="20"/>
      <c r="J333" s="25">
        <v>0</v>
      </c>
      <c r="K333" s="20"/>
      <c r="L333" s="25">
        <v>1000</v>
      </c>
      <c r="M333" s="20"/>
      <c r="N333" s="25">
        <v>0</v>
      </c>
      <c r="O333" s="20"/>
      <c r="P333" s="25">
        <v>1000</v>
      </c>
      <c r="Q333" s="20"/>
      <c r="R333" s="25">
        <v>0</v>
      </c>
    </row>
    <row r="334" spans="1:18" x14ac:dyDescent="0.2">
      <c r="A334" s="20"/>
      <c r="B334" s="20"/>
      <c r="C334" s="20" t="s">
        <v>164</v>
      </c>
      <c r="D334" s="20"/>
      <c r="E334" s="20"/>
      <c r="F334" s="31">
        <f t="shared" si="39"/>
        <v>2000</v>
      </c>
      <c r="G334" s="20"/>
      <c r="H334" s="25">
        <v>0</v>
      </c>
      <c r="I334" s="20"/>
      <c r="J334" s="25">
        <v>0</v>
      </c>
      <c r="K334" s="20"/>
      <c r="L334" s="25">
        <v>2000</v>
      </c>
      <c r="M334" s="20"/>
      <c r="N334" s="25">
        <v>0</v>
      </c>
      <c r="O334" s="20"/>
      <c r="P334" s="25">
        <v>2000</v>
      </c>
      <c r="Q334" s="20"/>
      <c r="R334" s="25">
        <v>0</v>
      </c>
    </row>
    <row r="335" spans="1:18" x14ac:dyDescent="0.2">
      <c r="A335" s="20"/>
      <c r="B335" s="20"/>
      <c r="C335" s="20" t="s">
        <v>150</v>
      </c>
      <c r="D335" s="20"/>
      <c r="E335" s="20"/>
      <c r="F335" s="28">
        <f t="shared" si="39"/>
        <v>201000</v>
      </c>
      <c r="G335" s="20"/>
      <c r="H335" s="27">
        <v>3000</v>
      </c>
      <c r="I335" s="20"/>
      <c r="J335" s="27">
        <v>79000</v>
      </c>
      <c r="K335" s="20"/>
      <c r="L335" s="27">
        <v>119000</v>
      </c>
      <c r="M335" s="20"/>
      <c r="N335" s="27">
        <v>107000</v>
      </c>
      <c r="O335" s="20"/>
      <c r="P335" s="27">
        <v>94000</v>
      </c>
      <c r="Q335" s="20"/>
      <c r="R335" s="27">
        <v>0</v>
      </c>
    </row>
    <row r="336" spans="1:18" x14ac:dyDescent="0.2">
      <c r="A336" s="20"/>
      <c r="B336" s="20"/>
      <c r="C336" s="20"/>
      <c r="D336" s="20"/>
      <c r="E336" s="20"/>
      <c r="F336" s="21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1:18" x14ac:dyDescent="0.2">
      <c r="A337" s="20"/>
      <c r="B337" s="20"/>
      <c r="C337" s="20"/>
      <c r="D337" s="20"/>
      <c r="E337" s="20" t="s">
        <v>3</v>
      </c>
      <c r="F337" s="28">
        <f>SUM(F283:F336)</f>
        <v>97885000</v>
      </c>
      <c r="G337" s="27">
        <f t="shared" ref="G337:R337" si="40">SUM(G283:G336)</f>
        <v>0</v>
      </c>
      <c r="H337" s="27">
        <f t="shared" si="40"/>
        <v>915000</v>
      </c>
      <c r="I337" s="27">
        <f t="shared" si="40"/>
        <v>0</v>
      </c>
      <c r="J337" s="27">
        <f t="shared" si="40"/>
        <v>3171000</v>
      </c>
      <c r="K337" s="27">
        <f t="shared" si="40"/>
        <v>0</v>
      </c>
      <c r="L337" s="27">
        <f t="shared" si="40"/>
        <v>93799000</v>
      </c>
      <c r="M337" s="27">
        <f t="shared" si="40"/>
        <v>0</v>
      </c>
      <c r="N337" s="27">
        <f t="shared" si="40"/>
        <v>44894000</v>
      </c>
      <c r="O337" s="27">
        <f t="shared" si="40"/>
        <v>0</v>
      </c>
      <c r="P337" s="27">
        <f t="shared" si="40"/>
        <v>53002000</v>
      </c>
      <c r="Q337" s="27">
        <f t="shared" si="40"/>
        <v>0</v>
      </c>
      <c r="R337" s="27">
        <f t="shared" si="40"/>
        <v>11000</v>
      </c>
    </row>
    <row r="338" spans="1:18" x14ac:dyDescent="0.2">
      <c r="A338" s="20"/>
      <c r="B338" s="20"/>
      <c r="C338" s="20"/>
      <c r="D338" s="20"/>
      <c r="E338" s="20"/>
      <c r="F338" s="21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1:18" x14ac:dyDescent="0.2">
      <c r="A339" s="20"/>
      <c r="B339" s="20" t="s">
        <v>28</v>
      </c>
      <c r="C339" s="20"/>
      <c r="D339" s="20"/>
      <c r="E339" s="20"/>
      <c r="F339" s="21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1:18" x14ac:dyDescent="0.2">
      <c r="A340" s="20"/>
      <c r="B340" s="20"/>
      <c r="C340" s="20" t="s">
        <v>87</v>
      </c>
      <c r="D340" s="20"/>
      <c r="E340" s="20"/>
      <c r="F340" s="31">
        <f t="shared" ref="F340:F350" si="41">SUM(H340:L340)</f>
        <v>111000</v>
      </c>
      <c r="G340" s="20"/>
      <c r="H340" s="25">
        <v>0</v>
      </c>
      <c r="I340" s="20"/>
      <c r="J340" s="25">
        <v>0</v>
      </c>
      <c r="K340" s="20"/>
      <c r="L340" s="25">
        <v>111000</v>
      </c>
      <c r="M340" s="20"/>
      <c r="N340" s="25">
        <v>36000</v>
      </c>
      <c r="O340" s="20"/>
      <c r="P340" s="25">
        <v>75000</v>
      </c>
      <c r="Q340" s="20"/>
      <c r="R340" s="25">
        <v>0</v>
      </c>
    </row>
    <row r="341" spans="1:18" x14ac:dyDescent="0.2">
      <c r="A341" s="20"/>
      <c r="B341" s="20"/>
      <c r="C341" s="20" t="s">
        <v>92</v>
      </c>
      <c r="D341" s="20"/>
      <c r="E341" s="20"/>
      <c r="F341" s="31">
        <f t="shared" si="41"/>
        <v>0</v>
      </c>
      <c r="G341" s="20"/>
      <c r="H341" s="25">
        <v>0</v>
      </c>
      <c r="I341" s="20"/>
      <c r="J341" s="25">
        <v>0</v>
      </c>
      <c r="K341" s="20"/>
      <c r="L341" s="25">
        <v>0</v>
      </c>
      <c r="M341" s="20"/>
      <c r="N341" s="25">
        <v>0</v>
      </c>
      <c r="O341" s="20"/>
      <c r="P341" s="25">
        <v>0</v>
      </c>
      <c r="Q341" s="20"/>
      <c r="R341" s="25">
        <v>0</v>
      </c>
    </row>
    <row r="342" spans="1:18" x14ac:dyDescent="0.2">
      <c r="A342" s="20"/>
      <c r="B342" s="20"/>
      <c r="C342" s="20" t="s">
        <v>100</v>
      </c>
      <c r="D342" s="20"/>
      <c r="E342" s="20"/>
      <c r="F342" s="31">
        <f t="shared" si="41"/>
        <v>51000</v>
      </c>
      <c r="G342" s="20"/>
      <c r="H342" s="25">
        <v>0</v>
      </c>
      <c r="I342" s="20"/>
      <c r="J342" s="25">
        <v>50000</v>
      </c>
      <c r="K342" s="20"/>
      <c r="L342" s="25">
        <v>1000</v>
      </c>
      <c r="M342" s="20"/>
      <c r="N342" s="25">
        <v>12000</v>
      </c>
      <c r="O342" s="20"/>
      <c r="P342" s="25">
        <v>39000</v>
      </c>
      <c r="Q342" s="20"/>
      <c r="R342" s="25">
        <v>0</v>
      </c>
    </row>
    <row r="343" spans="1:18" x14ac:dyDescent="0.2">
      <c r="A343" s="20"/>
      <c r="B343" s="20"/>
      <c r="C343" s="20" t="s">
        <v>101</v>
      </c>
      <c r="D343" s="20"/>
      <c r="E343" s="20"/>
      <c r="F343" s="31">
        <f t="shared" si="41"/>
        <v>179000</v>
      </c>
      <c r="G343" s="20"/>
      <c r="H343" s="25">
        <v>1000</v>
      </c>
      <c r="I343" s="20"/>
      <c r="J343" s="25">
        <v>0</v>
      </c>
      <c r="K343" s="20"/>
      <c r="L343" s="25">
        <v>178000</v>
      </c>
      <c r="M343" s="20"/>
      <c r="N343" s="25">
        <v>68000</v>
      </c>
      <c r="O343" s="20"/>
      <c r="P343" s="25">
        <v>111000</v>
      </c>
      <c r="Q343" s="20"/>
      <c r="R343" s="25">
        <v>0</v>
      </c>
    </row>
    <row r="344" spans="1:18" x14ac:dyDescent="0.2">
      <c r="A344" s="20"/>
      <c r="B344" s="20"/>
      <c r="C344" s="20" t="s">
        <v>112</v>
      </c>
      <c r="D344" s="20"/>
      <c r="E344" s="20"/>
      <c r="F344" s="31">
        <f t="shared" si="41"/>
        <v>537000</v>
      </c>
      <c r="G344" s="20"/>
      <c r="H344" s="25">
        <v>52000</v>
      </c>
      <c r="I344" s="20"/>
      <c r="J344" s="25">
        <v>324000</v>
      </c>
      <c r="K344" s="20"/>
      <c r="L344" s="25">
        <v>161000</v>
      </c>
      <c r="M344" s="20"/>
      <c r="N344" s="25">
        <v>292000</v>
      </c>
      <c r="O344" s="20"/>
      <c r="P344" s="25">
        <v>245000</v>
      </c>
      <c r="Q344" s="20"/>
      <c r="R344" s="25">
        <v>0</v>
      </c>
    </row>
    <row r="345" spans="1:18" x14ac:dyDescent="0.2">
      <c r="A345" s="20"/>
      <c r="B345" s="20"/>
      <c r="C345" s="20" t="s">
        <v>155</v>
      </c>
      <c r="D345" s="20"/>
      <c r="E345" s="20"/>
      <c r="F345" s="31">
        <f t="shared" si="41"/>
        <v>0</v>
      </c>
      <c r="G345" s="20"/>
      <c r="H345" s="25">
        <v>0</v>
      </c>
      <c r="I345" s="20"/>
      <c r="J345" s="25">
        <v>0</v>
      </c>
      <c r="K345" s="20"/>
      <c r="L345" s="25">
        <v>0</v>
      </c>
      <c r="M345" s="20"/>
      <c r="N345" s="25">
        <v>0</v>
      </c>
      <c r="O345" s="20"/>
      <c r="P345" s="25">
        <v>0</v>
      </c>
      <c r="Q345" s="20"/>
      <c r="R345" s="25">
        <v>0</v>
      </c>
    </row>
    <row r="346" spans="1:18" x14ac:dyDescent="0.2">
      <c r="A346" s="20"/>
      <c r="B346" s="20"/>
      <c r="C346" s="20" t="s">
        <v>159</v>
      </c>
      <c r="D346" s="20"/>
      <c r="E346" s="20"/>
      <c r="F346" s="31">
        <f t="shared" si="41"/>
        <v>101000</v>
      </c>
      <c r="G346" s="20"/>
      <c r="H346" s="25">
        <v>0</v>
      </c>
      <c r="I346" s="20"/>
      <c r="J346" s="25">
        <v>0</v>
      </c>
      <c r="K346" s="20"/>
      <c r="L346" s="25">
        <v>101000</v>
      </c>
      <c r="M346" s="20"/>
      <c r="N346" s="25">
        <v>52000</v>
      </c>
      <c r="O346" s="20"/>
      <c r="P346" s="25">
        <v>49000</v>
      </c>
      <c r="Q346" s="20"/>
      <c r="R346" s="25">
        <v>0</v>
      </c>
    </row>
    <row r="347" spans="1:18" x14ac:dyDescent="0.2">
      <c r="A347" s="20"/>
      <c r="B347" s="20"/>
      <c r="C347" s="20" t="s">
        <v>122</v>
      </c>
      <c r="D347" s="20"/>
      <c r="E347" s="20"/>
      <c r="F347" s="31">
        <f t="shared" si="41"/>
        <v>0</v>
      </c>
      <c r="G347" s="20"/>
      <c r="H347" s="25">
        <v>0</v>
      </c>
      <c r="I347" s="20"/>
      <c r="J347" s="25">
        <v>0</v>
      </c>
      <c r="K347" s="20"/>
      <c r="L347" s="25">
        <v>0</v>
      </c>
      <c r="M347" s="20"/>
      <c r="N347" s="25">
        <v>0</v>
      </c>
      <c r="O347" s="20"/>
      <c r="P347" s="25">
        <v>0</v>
      </c>
      <c r="Q347" s="20"/>
      <c r="R347" s="25">
        <v>0</v>
      </c>
    </row>
    <row r="348" spans="1:18" x14ac:dyDescent="0.2">
      <c r="A348" s="20"/>
      <c r="B348" s="20"/>
      <c r="C348" s="20" t="s">
        <v>126</v>
      </c>
      <c r="D348" s="20"/>
      <c r="E348" s="20"/>
      <c r="F348" s="31">
        <f t="shared" si="41"/>
        <v>0</v>
      </c>
      <c r="G348" s="20"/>
      <c r="H348" s="25">
        <v>0</v>
      </c>
      <c r="I348" s="20"/>
      <c r="J348" s="25">
        <v>0</v>
      </c>
      <c r="K348" s="20"/>
      <c r="L348" s="25">
        <v>0</v>
      </c>
      <c r="M348" s="20"/>
      <c r="N348" s="25">
        <v>0</v>
      </c>
      <c r="O348" s="20"/>
      <c r="P348" s="25">
        <v>0</v>
      </c>
      <c r="Q348" s="20"/>
      <c r="R348" s="25">
        <v>0</v>
      </c>
    </row>
    <row r="349" spans="1:18" x14ac:dyDescent="0.2">
      <c r="A349" s="20"/>
      <c r="B349" s="20"/>
      <c r="C349" s="20" t="s">
        <v>130</v>
      </c>
      <c r="D349" s="20"/>
      <c r="E349" s="20"/>
      <c r="F349" s="31">
        <f t="shared" si="41"/>
        <v>25000</v>
      </c>
      <c r="G349" s="20"/>
      <c r="H349" s="25">
        <v>0</v>
      </c>
      <c r="I349" s="20"/>
      <c r="J349" s="25">
        <v>0</v>
      </c>
      <c r="K349" s="20"/>
      <c r="L349" s="25">
        <v>25000</v>
      </c>
      <c r="M349" s="20"/>
      <c r="N349" s="25">
        <v>3000</v>
      </c>
      <c r="O349" s="20"/>
      <c r="P349" s="25">
        <v>22000</v>
      </c>
      <c r="Q349" s="20"/>
      <c r="R349" s="25">
        <v>0</v>
      </c>
    </row>
    <row r="350" spans="1:18" x14ac:dyDescent="0.2">
      <c r="A350" s="20"/>
      <c r="B350" s="20"/>
      <c r="C350" s="20" t="s">
        <v>131</v>
      </c>
      <c r="D350" s="20"/>
      <c r="E350" s="20"/>
      <c r="F350" s="28">
        <f t="shared" si="41"/>
        <v>-1000</v>
      </c>
      <c r="G350" s="20"/>
      <c r="H350" s="27">
        <v>-1000</v>
      </c>
      <c r="I350" s="20"/>
      <c r="J350" s="27">
        <v>0</v>
      </c>
      <c r="K350" s="20"/>
      <c r="L350" s="27">
        <v>0</v>
      </c>
      <c r="M350" s="20"/>
      <c r="N350" s="27">
        <v>0</v>
      </c>
      <c r="O350" s="20"/>
      <c r="P350" s="27">
        <v>-1000</v>
      </c>
      <c r="Q350" s="20"/>
      <c r="R350" s="27">
        <v>0</v>
      </c>
    </row>
    <row r="351" spans="1:18" x14ac:dyDescent="0.2">
      <c r="A351" s="20"/>
      <c r="B351" s="20"/>
      <c r="C351" s="20"/>
      <c r="D351" s="20"/>
      <c r="E351" s="20"/>
      <c r="F351" s="21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</row>
    <row r="352" spans="1:18" x14ac:dyDescent="0.2">
      <c r="A352" s="20"/>
      <c r="B352" s="20"/>
      <c r="C352" s="20"/>
      <c r="D352" s="20"/>
      <c r="E352" s="20" t="s">
        <v>3</v>
      </c>
      <c r="F352" s="28">
        <f>SUM(F340:F351)</f>
        <v>1003000</v>
      </c>
      <c r="G352" s="27">
        <f t="shared" ref="G352:R352" si="42">SUM(G340:G351)</f>
        <v>0</v>
      </c>
      <c r="H352" s="27">
        <f t="shared" si="42"/>
        <v>52000</v>
      </c>
      <c r="I352" s="27">
        <f t="shared" si="42"/>
        <v>0</v>
      </c>
      <c r="J352" s="27">
        <f t="shared" si="42"/>
        <v>374000</v>
      </c>
      <c r="K352" s="27">
        <f t="shared" si="42"/>
        <v>0</v>
      </c>
      <c r="L352" s="27">
        <f t="shared" si="42"/>
        <v>577000</v>
      </c>
      <c r="M352" s="27">
        <f t="shared" si="42"/>
        <v>0</v>
      </c>
      <c r="N352" s="27">
        <f t="shared" si="42"/>
        <v>463000</v>
      </c>
      <c r="O352" s="27">
        <f t="shared" si="42"/>
        <v>0</v>
      </c>
      <c r="P352" s="27">
        <f t="shared" si="42"/>
        <v>540000</v>
      </c>
      <c r="Q352" s="27">
        <f t="shared" si="42"/>
        <v>0</v>
      </c>
      <c r="R352" s="27">
        <f t="shared" si="42"/>
        <v>0</v>
      </c>
    </row>
    <row r="353" spans="1:18" x14ac:dyDescent="0.2">
      <c r="A353" s="20"/>
      <c r="B353" s="20"/>
      <c r="C353" s="20"/>
      <c r="D353" s="20"/>
      <c r="E353" s="20"/>
      <c r="F353" s="21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</row>
    <row r="354" spans="1:18" x14ac:dyDescent="0.2">
      <c r="A354" s="20"/>
      <c r="B354" s="20" t="s">
        <v>29</v>
      </c>
      <c r="C354" s="20"/>
      <c r="D354" s="20"/>
      <c r="E354" s="20"/>
      <c r="F354" s="21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</row>
    <row r="355" spans="1:18" x14ac:dyDescent="0.2">
      <c r="A355" s="20"/>
      <c r="B355" s="20"/>
      <c r="C355" s="20" t="s">
        <v>86</v>
      </c>
      <c r="D355" s="20"/>
      <c r="E355" s="20"/>
      <c r="F355" s="31">
        <f t="shared" ref="F355:F373" si="43">SUM(H355:L355)</f>
        <v>-10000</v>
      </c>
      <c r="G355" s="20"/>
      <c r="H355" s="25">
        <v>0</v>
      </c>
      <c r="I355" s="20"/>
      <c r="J355" s="25">
        <v>-10000</v>
      </c>
      <c r="K355" s="20"/>
      <c r="L355" s="25">
        <v>0</v>
      </c>
      <c r="M355" s="20"/>
      <c r="N355" s="25">
        <v>58000</v>
      </c>
      <c r="O355" s="20"/>
      <c r="P355" s="25">
        <v>49000</v>
      </c>
      <c r="Q355" s="20"/>
      <c r="R355" s="25">
        <v>117000</v>
      </c>
    </row>
    <row r="356" spans="1:18" x14ac:dyDescent="0.2">
      <c r="A356" s="20"/>
      <c r="B356" s="20"/>
      <c r="C356" s="20" t="s">
        <v>87</v>
      </c>
      <c r="D356" s="20"/>
      <c r="E356" s="20"/>
      <c r="F356" s="31">
        <f t="shared" si="43"/>
        <v>0</v>
      </c>
      <c r="G356" s="20"/>
      <c r="H356" s="25">
        <v>0</v>
      </c>
      <c r="I356" s="20"/>
      <c r="J356" s="25">
        <v>0</v>
      </c>
      <c r="K356" s="20"/>
      <c r="L356" s="25">
        <v>0</v>
      </c>
      <c r="M356" s="20"/>
      <c r="N356" s="25">
        <v>0</v>
      </c>
      <c r="O356" s="20"/>
      <c r="P356" s="25">
        <v>0</v>
      </c>
      <c r="Q356" s="20"/>
      <c r="R356" s="25">
        <v>0</v>
      </c>
    </row>
    <row r="357" spans="1:18" x14ac:dyDescent="0.2">
      <c r="A357" s="20"/>
      <c r="B357" s="20"/>
      <c r="C357" s="20" t="s">
        <v>90</v>
      </c>
      <c r="D357" s="20"/>
      <c r="E357" s="20"/>
      <c r="F357" s="31"/>
      <c r="G357" s="20"/>
      <c r="H357" s="25"/>
      <c r="I357" s="20"/>
      <c r="J357" s="25"/>
      <c r="K357" s="20"/>
      <c r="L357" s="25"/>
      <c r="M357" s="20"/>
      <c r="N357" s="25"/>
      <c r="O357" s="20"/>
      <c r="P357" s="25"/>
      <c r="Q357" s="20"/>
      <c r="R357" s="25"/>
    </row>
    <row r="358" spans="1:18" x14ac:dyDescent="0.2">
      <c r="A358" s="20"/>
      <c r="B358" s="20"/>
      <c r="C358" s="20"/>
      <c r="D358" s="20"/>
      <c r="E358" s="20" t="s">
        <v>91</v>
      </c>
      <c r="F358" s="31">
        <f t="shared" si="43"/>
        <v>290000</v>
      </c>
      <c r="G358" s="20"/>
      <c r="H358" s="25">
        <v>1000</v>
      </c>
      <c r="I358" s="20"/>
      <c r="J358" s="25">
        <v>-119000</v>
      </c>
      <c r="K358" s="20"/>
      <c r="L358" s="25">
        <v>408000</v>
      </c>
      <c r="M358" s="20"/>
      <c r="N358" s="25">
        <v>162000</v>
      </c>
      <c r="O358" s="20"/>
      <c r="P358" s="25">
        <v>133000</v>
      </c>
      <c r="Q358" s="20"/>
      <c r="R358" s="25">
        <v>5000</v>
      </c>
    </row>
    <row r="359" spans="1:18" x14ac:dyDescent="0.2">
      <c r="A359" s="20"/>
      <c r="B359" s="20"/>
      <c r="C359" s="20" t="s">
        <v>39</v>
      </c>
      <c r="D359" s="20"/>
      <c r="E359" s="20"/>
      <c r="F359" s="31">
        <f t="shared" si="43"/>
        <v>310000</v>
      </c>
      <c r="G359" s="20"/>
      <c r="H359" s="25">
        <v>36000</v>
      </c>
      <c r="I359" s="20"/>
      <c r="J359" s="25">
        <v>274000</v>
      </c>
      <c r="K359" s="20"/>
      <c r="L359" s="25">
        <v>0</v>
      </c>
      <c r="M359" s="20"/>
      <c r="N359" s="25">
        <v>150000</v>
      </c>
      <c r="O359" s="20"/>
      <c r="P359" s="25">
        <v>160000</v>
      </c>
      <c r="Q359" s="20"/>
      <c r="R359" s="25">
        <v>0</v>
      </c>
    </row>
    <row r="360" spans="1:18" x14ac:dyDescent="0.2">
      <c r="A360" s="20"/>
      <c r="B360" s="20"/>
      <c r="C360" s="20" t="s">
        <v>99</v>
      </c>
      <c r="D360" s="20"/>
      <c r="E360" s="20"/>
      <c r="F360" s="31">
        <f t="shared" si="43"/>
        <v>-67000</v>
      </c>
      <c r="G360" s="20"/>
      <c r="H360" s="25">
        <v>-67000</v>
      </c>
      <c r="I360" s="20"/>
      <c r="J360" s="25">
        <v>0</v>
      </c>
      <c r="K360" s="20"/>
      <c r="L360" s="25">
        <v>0</v>
      </c>
      <c r="M360" s="20"/>
      <c r="N360" s="25">
        <v>0</v>
      </c>
      <c r="O360" s="20"/>
      <c r="P360" s="25">
        <v>-67000</v>
      </c>
      <c r="Q360" s="20"/>
      <c r="R360" s="25">
        <v>0</v>
      </c>
    </row>
    <row r="361" spans="1:18" x14ac:dyDescent="0.2">
      <c r="A361" s="20"/>
      <c r="B361" s="20"/>
      <c r="C361" s="20" t="s">
        <v>165</v>
      </c>
      <c r="D361" s="20"/>
      <c r="E361" s="20"/>
      <c r="F361" s="31">
        <f t="shared" si="43"/>
        <v>82000</v>
      </c>
      <c r="G361" s="20"/>
      <c r="H361" s="25">
        <v>6000</v>
      </c>
      <c r="I361" s="20"/>
      <c r="J361" s="25">
        <v>76000</v>
      </c>
      <c r="K361" s="20"/>
      <c r="L361" s="25">
        <v>0</v>
      </c>
      <c r="M361" s="20"/>
      <c r="N361" s="25">
        <v>63000</v>
      </c>
      <c r="O361" s="20"/>
      <c r="P361" s="25">
        <v>136000</v>
      </c>
      <c r="Q361" s="20"/>
      <c r="R361" s="25">
        <v>117000</v>
      </c>
    </row>
    <row r="362" spans="1:18" x14ac:dyDescent="0.2">
      <c r="A362" s="20"/>
      <c r="B362" s="20"/>
      <c r="C362" s="20" t="s">
        <v>109</v>
      </c>
      <c r="D362" s="20"/>
      <c r="E362" s="20"/>
      <c r="F362" s="31">
        <f t="shared" si="43"/>
        <v>98000</v>
      </c>
      <c r="G362" s="20"/>
      <c r="H362" s="25">
        <v>97000</v>
      </c>
      <c r="I362" s="20"/>
      <c r="J362" s="25">
        <v>1000</v>
      </c>
      <c r="K362" s="20"/>
      <c r="L362" s="25">
        <v>0</v>
      </c>
      <c r="M362" s="20"/>
      <c r="N362" s="25">
        <v>65000</v>
      </c>
      <c r="O362" s="20"/>
      <c r="P362" s="25">
        <v>33000</v>
      </c>
      <c r="Q362" s="20"/>
      <c r="R362" s="25">
        <v>0</v>
      </c>
    </row>
    <row r="363" spans="1:18" x14ac:dyDescent="0.2">
      <c r="A363" s="20"/>
      <c r="B363" s="20"/>
      <c r="C363" s="20" t="s">
        <v>155</v>
      </c>
      <c r="D363" s="20"/>
      <c r="E363" s="20"/>
      <c r="F363" s="31">
        <f t="shared" si="43"/>
        <v>270000</v>
      </c>
      <c r="G363" s="20"/>
      <c r="H363" s="25">
        <v>95000</v>
      </c>
      <c r="I363" s="20"/>
      <c r="J363" s="25">
        <v>97000</v>
      </c>
      <c r="K363" s="20"/>
      <c r="L363" s="25">
        <v>78000</v>
      </c>
      <c r="M363" s="20"/>
      <c r="N363" s="25">
        <v>189000</v>
      </c>
      <c r="O363" s="20"/>
      <c r="P363" s="25">
        <v>128000</v>
      </c>
      <c r="Q363" s="20"/>
      <c r="R363" s="25">
        <v>47000</v>
      </c>
    </row>
    <row r="364" spans="1:18" x14ac:dyDescent="0.2">
      <c r="A364" s="20"/>
      <c r="B364" s="20"/>
      <c r="C364" s="20" t="s">
        <v>120</v>
      </c>
      <c r="D364" s="20"/>
      <c r="E364" s="20"/>
      <c r="F364" s="31">
        <f t="shared" si="43"/>
        <v>43000</v>
      </c>
      <c r="G364" s="20"/>
      <c r="H364" s="25">
        <v>0</v>
      </c>
      <c r="I364" s="20"/>
      <c r="J364" s="25">
        <v>43000</v>
      </c>
      <c r="K364" s="20"/>
      <c r="L364" s="25">
        <v>0</v>
      </c>
      <c r="M364" s="20"/>
      <c r="N364" s="25">
        <v>10000</v>
      </c>
      <c r="O364" s="20"/>
      <c r="P364" s="25">
        <v>37000</v>
      </c>
      <c r="Q364" s="20"/>
      <c r="R364" s="25">
        <v>4000</v>
      </c>
    </row>
    <row r="365" spans="1:18" x14ac:dyDescent="0.2">
      <c r="A365" s="20"/>
      <c r="B365" s="20"/>
      <c r="C365" s="20" t="s">
        <v>159</v>
      </c>
      <c r="D365" s="20"/>
      <c r="E365" s="20"/>
      <c r="F365" s="31">
        <f t="shared" si="43"/>
        <v>75000</v>
      </c>
      <c r="G365" s="20"/>
      <c r="H365" s="25">
        <v>75000</v>
      </c>
      <c r="I365" s="20"/>
      <c r="J365" s="25">
        <v>0</v>
      </c>
      <c r="K365" s="20"/>
      <c r="L365" s="25">
        <v>0</v>
      </c>
      <c r="M365" s="20"/>
      <c r="N365" s="25">
        <v>50000</v>
      </c>
      <c r="O365" s="20"/>
      <c r="P365" s="25">
        <v>25000</v>
      </c>
      <c r="Q365" s="20"/>
      <c r="R365" s="25">
        <v>0</v>
      </c>
    </row>
    <row r="366" spans="1:18" x14ac:dyDescent="0.2">
      <c r="A366" s="20"/>
      <c r="B366" s="20"/>
      <c r="C366" s="20" t="s">
        <v>166</v>
      </c>
      <c r="D366" s="20"/>
      <c r="E366" s="20"/>
      <c r="F366" s="31">
        <f t="shared" si="43"/>
        <v>385000</v>
      </c>
      <c r="G366" s="20"/>
      <c r="H366" s="25">
        <v>2000</v>
      </c>
      <c r="I366" s="20"/>
      <c r="J366" s="25">
        <v>380000</v>
      </c>
      <c r="K366" s="20"/>
      <c r="L366" s="25">
        <v>3000</v>
      </c>
      <c r="M366" s="20"/>
      <c r="N366" s="25">
        <v>1571000</v>
      </c>
      <c r="O366" s="20"/>
      <c r="P366" s="25">
        <v>5051000</v>
      </c>
      <c r="Q366" s="20"/>
      <c r="R366" s="25">
        <v>6237000</v>
      </c>
    </row>
    <row r="367" spans="1:18" x14ac:dyDescent="0.2">
      <c r="A367" s="20"/>
      <c r="B367" s="20"/>
      <c r="C367" s="20" t="s">
        <v>126</v>
      </c>
      <c r="D367" s="20"/>
      <c r="E367" s="20"/>
      <c r="F367" s="31">
        <f t="shared" si="43"/>
        <v>0</v>
      </c>
      <c r="G367" s="20"/>
      <c r="H367" s="25">
        <v>0</v>
      </c>
      <c r="I367" s="20"/>
      <c r="J367" s="25">
        <v>0</v>
      </c>
      <c r="K367" s="20"/>
      <c r="L367" s="25">
        <v>0</v>
      </c>
      <c r="M367" s="20"/>
      <c r="N367" s="25">
        <v>0</v>
      </c>
      <c r="O367" s="20"/>
      <c r="P367" s="25">
        <v>0</v>
      </c>
      <c r="Q367" s="20"/>
      <c r="R367" s="25">
        <v>0</v>
      </c>
    </row>
    <row r="368" spans="1:18" x14ac:dyDescent="0.2">
      <c r="A368" s="20"/>
      <c r="B368" s="20"/>
      <c r="C368" s="20" t="s">
        <v>129</v>
      </c>
      <c r="D368" s="20"/>
      <c r="E368" s="20"/>
      <c r="F368" s="31">
        <f t="shared" si="43"/>
        <v>0</v>
      </c>
      <c r="G368" s="20"/>
      <c r="H368" s="25">
        <v>0</v>
      </c>
      <c r="I368" s="20"/>
      <c r="J368" s="25">
        <v>0</v>
      </c>
      <c r="K368" s="20"/>
      <c r="L368" s="25">
        <v>0</v>
      </c>
      <c r="M368" s="20"/>
      <c r="N368" s="25">
        <v>0</v>
      </c>
      <c r="O368" s="20"/>
      <c r="P368" s="25">
        <v>0</v>
      </c>
      <c r="Q368" s="20"/>
      <c r="R368" s="25">
        <v>0</v>
      </c>
    </row>
    <row r="369" spans="1:18" x14ac:dyDescent="0.2">
      <c r="A369" s="20"/>
      <c r="B369" s="20"/>
      <c r="C369" s="20" t="s">
        <v>130</v>
      </c>
      <c r="D369" s="20"/>
      <c r="E369" s="20"/>
      <c r="F369" s="31">
        <f t="shared" si="43"/>
        <v>389000</v>
      </c>
      <c r="G369" s="20"/>
      <c r="H369" s="25">
        <v>20000</v>
      </c>
      <c r="I369" s="20"/>
      <c r="J369" s="25">
        <v>21000</v>
      </c>
      <c r="K369" s="20"/>
      <c r="L369" s="25">
        <v>348000</v>
      </c>
      <c r="M369" s="20"/>
      <c r="N369" s="25">
        <v>172000</v>
      </c>
      <c r="O369" s="20"/>
      <c r="P369" s="25">
        <v>217000</v>
      </c>
      <c r="Q369" s="20"/>
      <c r="R369" s="25">
        <v>0</v>
      </c>
    </row>
    <row r="370" spans="1:18" x14ac:dyDescent="0.2">
      <c r="A370" s="20"/>
      <c r="B370" s="20"/>
      <c r="C370" s="20" t="s">
        <v>132</v>
      </c>
      <c r="D370" s="20"/>
      <c r="E370" s="20"/>
      <c r="F370" s="31">
        <f t="shared" si="43"/>
        <v>0</v>
      </c>
      <c r="G370" s="20"/>
      <c r="H370" s="25">
        <v>0</v>
      </c>
      <c r="I370" s="20"/>
      <c r="J370" s="25">
        <v>0</v>
      </c>
      <c r="K370" s="20"/>
      <c r="L370" s="25">
        <v>0</v>
      </c>
      <c r="M370" s="20"/>
      <c r="N370" s="25">
        <v>0</v>
      </c>
      <c r="O370" s="20"/>
      <c r="P370" s="25">
        <v>0</v>
      </c>
      <c r="Q370" s="20"/>
      <c r="R370" s="25">
        <v>0</v>
      </c>
    </row>
    <row r="371" spans="1:18" x14ac:dyDescent="0.2">
      <c r="A371" s="20"/>
      <c r="B371" s="20"/>
      <c r="C371" s="20" t="s">
        <v>133</v>
      </c>
      <c r="D371" s="20"/>
      <c r="E371" s="20"/>
      <c r="F371" s="31">
        <f t="shared" si="43"/>
        <v>210000</v>
      </c>
      <c r="G371" s="20"/>
      <c r="H371" s="25">
        <v>10000</v>
      </c>
      <c r="I371" s="20"/>
      <c r="J371" s="25">
        <v>196000</v>
      </c>
      <c r="K371" s="20"/>
      <c r="L371" s="25">
        <v>4000</v>
      </c>
      <c r="M371" s="20"/>
      <c r="N371" s="25">
        <v>146000</v>
      </c>
      <c r="O371" s="20"/>
      <c r="P371" s="25">
        <v>64000</v>
      </c>
      <c r="Q371" s="20"/>
      <c r="R371" s="25">
        <v>0</v>
      </c>
    </row>
    <row r="372" spans="1:18" x14ac:dyDescent="0.2">
      <c r="A372" s="20"/>
      <c r="B372" s="20"/>
      <c r="C372" s="20" t="s">
        <v>144</v>
      </c>
      <c r="D372" s="20"/>
      <c r="E372" s="20"/>
      <c r="F372" s="31">
        <f t="shared" si="43"/>
        <v>79000</v>
      </c>
      <c r="G372" s="20"/>
      <c r="H372" s="25">
        <v>79000</v>
      </c>
      <c r="I372" s="20"/>
      <c r="J372" s="25">
        <v>0</v>
      </c>
      <c r="K372" s="20"/>
      <c r="L372" s="25">
        <v>0</v>
      </c>
      <c r="M372" s="20"/>
      <c r="N372" s="25">
        <v>53000</v>
      </c>
      <c r="O372" s="20"/>
      <c r="P372" s="25">
        <v>26000</v>
      </c>
      <c r="Q372" s="20"/>
      <c r="R372" s="25">
        <v>0</v>
      </c>
    </row>
    <row r="373" spans="1:18" x14ac:dyDescent="0.2">
      <c r="A373" s="20"/>
      <c r="B373" s="20"/>
      <c r="C373" s="20" t="s">
        <v>149</v>
      </c>
      <c r="D373" s="20"/>
      <c r="E373" s="20"/>
      <c r="F373" s="28">
        <f t="shared" si="43"/>
        <v>0</v>
      </c>
      <c r="G373" s="20"/>
      <c r="H373" s="27">
        <v>0</v>
      </c>
      <c r="I373" s="20"/>
      <c r="J373" s="27">
        <v>0</v>
      </c>
      <c r="K373" s="20"/>
      <c r="L373" s="27">
        <v>0</v>
      </c>
      <c r="M373" s="20"/>
      <c r="N373" s="27">
        <v>0</v>
      </c>
      <c r="O373" s="20"/>
      <c r="P373" s="27">
        <v>0</v>
      </c>
      <c r="Q373" s="20"/>
      <c r="R373" s="27">
        <v>0</v>
      </c>
    </row>
    <row r="374" spans="1:18" x14ac:dyDescent="0.2">
      <c r="A374" s="20"/>
      <c r="B374" s="20"/>
      <c r="C374" s="20"/>
      <c r="D374" s="20"/>
      <c r="E374" s="20"/>
      <c r="F374" s="21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</row>
    <row r="375" spans="1:18" x14ac:dyDescent="0.2">
      <c r="A375" s="20"/>
      <c r="B375" s="20"/>
      <c r="C375" s="20"/>
      <c r="D375" s="20"/>
      <c r="E375" s="20" t="s">
        <v>3</v>
      </c>
      <c r="F375" s="28">
        <f>SUM(F355:F374)</f>
        <v>2154000</v>
      </c>
      <c r="G375" s="27">
        <f t="shared" ref="G375:R375" si="44">SUM(G355:G374)</f>
        <v>0</v>
      </c>
      <c r="H375" s="27">
        <f t="shared" si="44"/>
        <v>354000</v>
      </c>
      <c r="I375" s="27">
        <f t="shared" si="44"/>
        <v>0</v>
      </c>
      <c r="J375" s="27">
        <f t="shared" si="44"/>
        <v>959000</v>
      </c>
      <c r="K375" s="27">
        <f t="shared" si="44"/>
        <v>0</v>
      </c>
      <c r="L375" s="27">
        <f t="shared" si="44"/>
        <v>841000</v>
      </c>
      <c r="M375" s="27">
        <f t="shared" si="44"/>
        <v>0</v>
      </c>
      <c r="N375" s="27">
        <f t="shared" si="44"/>
        <v>2689000</v>
      </c>
      <c r="O375" s="27">
        <f t="shared" si="44"/>
        <v>0</v>
      </c>
      <c r="P375" s="27">
        <f t="shared" si="44"/>
        <v>5992000</v>
      </c>
      <c r="Q375" s="27">
        <f t="shared" si="44"/>
        <v>0</v>
      </c>
      <c r="R375" s="27">
        <f t="shared" si="44"/>
        <v>6527000</v>
      </c>
    </row>
    <row r="376" spans="1:18" x14ac:dyDescent="0.2">
      <c r="A376" s="20"/>
      <c r="B376" s="20"/>
      <c r="C376" s="20"/>
      <c r="D376" s="20"/>
      <c r="E376" s="20"/>
      <c r="F376" s="21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</row>
    <row r="377" spans="1:18" x14ac:dyDescent="0.2">
      <c r="A377" s="20"/>
      <c r="B377" s="20"/>
      <c r="C377" s="20"/>
      <c r="D377" s="20"/>
      <c r="E377" s="20" t="s">
        <v>167</v>
      </c>
      <c r="F377" s="21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</row>
    <row r="378" spans="1:18" x14ac:dyDescent="0.2">
      <c r="A378" s="20"/>
      <c r="B378" s="20"/>
      <c r="C378" s="20"/>
      <c r="D378" s="20"/>
      <c r="E378" s="20" t="s">
        <v>168</v>
      </c>
      <c r="F378" s="28">
        <f>F280+F337+F352+F375</f>
        <v>425899750</v>
      </c>
      <c r="G378" s="27">
        <f t="shared" ref="G378:R378" si="45">G280+G337+G352+G375</f>
        <v>0</v>
      </c>
      <c r="H378" s="27">
        <f t="shared" si="45"/>
        <v>265095750</v>
      </c>
      <c r="I378" s="27">
        <f t="shared" si="45"/>
        <v>0</v>
      </c>
      <c r="J378" s="27">
        <f t="shared" si="45"/>
        <v>38029000</v>
      </c>
      <c r="K378" s="27">
        <f t="shared" si="45"/>
        <v>0</v>
      </c>
      <c r="L378" s="27">
        <f t="shared" si="45"/>
        <v>122775000</v>
      </c>
      <c r="M378" s="27">
        <f t="shared" si="45"/>
        <v>0</v>
      </c>
      <c r="N378" s="27">
        <f t="shared" si="45"/>
        <v>256408250</v>
      </c>
      <c r="O378" s="27">
        <f t="shared" si="45"/>
        <v>0</v>
      </c>
      <c r="P378" s="27">
        <f t="shared" si="45"/>
        <v>176801500</v>
      </c>
      <c r="Q378" s="27">
        <f t="shared" si="45"/>
        <v>0</v>
      </c>
      <c r="R378" s="27">
        <f t="shared" si="45"/>
        <v>7310000</v>
      </c>
    </row>
    <row r="379" spans="1:18" x14ac:dyDescent="0.2">
      <c r="A379" s="20"/>
      <c r="B379" s="20"/>
      <c r="C379" s="20"/>
      <c r="D379" s="20"/>
      <c r="E379" s="20"/>
      <c r="F379" s="21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</row>
    <row r="380" spans="1:18" x14ac:dyDescent="0.2">
      <c r="A380" s="22" t="s">
        <v>169</v>
      </c>
      <c r="B380" s="20"/>
      <c r="C380" s="20"/>
      <c r="D380" s="20"/>
      <c r="E380" s="20"/>
      <c r="F380" s="21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</row>
    <row r="381" spans="1:18" x14ac:dyDescent="0.2">
      <c r="A381" s="20"/>
      <c r="B381" s="22" t="s">
        <v>170</v>
      </c>
      <c r="C381" s="20"/>
      <c r="D381" s="20"/>
      <c r="E381" s="20"/>
      <c r="F381" s="21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</row>
    <row r="382" spans="1:18" x14ac:dyDescent="0.2">
      <c r="A382" s="20"/>
      <c r="B382" s="20"/>
      <c r="C382" s="20"/>
      <c r="D382" s="20"/>
      <c r="E382" s="20"/>
      <c r="F382" s="21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</row>
    <row r="383" spans="1:18" x14ac:dyDescent="0.2">
      <c r="A383" s="20"/>
      <c r="B383" s="20" t="s">
        <v>13</v>
      </c>
      <c r="C383" s="20"/>
      <c r="D383" s="20"/>
      <c r="E383" s="20"/>
      <c r="F383" s="28">
        <f t="shared" ref="F383" si="46">SUM(H383:L383)</f>
        <v>20005000</v>
      </c>
      <c r="G383" s="20"/>
      <c r="H383" s="27">
        <v>3710000</v>
      </c>
      <c r="I383" s="20"/>
      <c r="J383" s="27">
        <v>15983000</v>
      </c>
      <c r="K383" s="20"/>
      <c r="L383" s="27">
        <v>312000</v>
      </c>
      <c r="M383" s="20"/>
      <c r="N383" s="27">
        <v>6351000</v>
      </c>
      <c r="O383" s="20"/>
      <c r="P383" s="27">
        <v>13654000</v>
      </c>
      <c r="Q383" s="20"/>
      <c r="R383" s="27">
        <v>0</v>
      </c>
    </row>
    <row r="384" spans="1:18" x14ac:dyDescent="0.2">
      <c r="A384" s="20"/>
      <c r="B384" s="20"/>
      <c r="C384" s="20"/>
      <c r="D384" s="20"/>
      <c r="E384" s="20"/>
      <c r="F384" s="21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</row>
    <row r="385" spans="1:18" x14ac:dyDescent="0.2">
      <c r="A385" s="20"/>
      <c r="B385" s="20" t="s">
        <v>24</v>
      </c>
      <c r="C385" s="20"/>
      <c r="D385" s="20"/>
      <c r="E385" s="20"/>
      <c r="F385" s="28">
        <f t="shared" ref="F385" si="47">SUM(H385:L385)</f>
        <v>3171000</v>
      </c>
      <c r="G385" s="20"/>
      <c r="H385" s="27">
        <v>-11000</v>
      </c>
      <c r="I385" s="20"/>
      <c r="J385" s="27">
        <v>312000</v>
      </c>
      <c r="K385" s="20"/>
      <c r="L385" s="27">
        <v>2870000</v>
      </c>
      <c r="M385" s="20"/>
      <c r="N385" s="27">
        <v>1597000</v>
      </c>
      <c r="O385" s="20"/>
      <c r="P385" s="27">
        <v>1574000</v>
      </c>
      <c r="Q385" s="20"/>
      <c r="R385" s="27">
        <v>0</v>
      </c>
    </row>
    <row r="386" spans="1:18" x14ac:dyDescent="0.2">
      <c r="A386" s="20"/>
      <c r="B386" s="20"/>
      <c r="C386" s="20"/>
      <c r="D386" s="20"/>
      <c r="E386" s="20"/>
      <c r="F386" s="21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</row>
    <row r="387" spans="1:18" x14ac:dyDescent="0.2">
      <c r="A387" s="20"/>
      <c r="B387" s="20" t="s">
        <v>29</v>
      </c>
      <c r="C387" s="20"/>
      <c r="D387" s="20"/>
      <c r="E387" s="20"/>
      <c r="F387" s="28">
        <f t="shared" ref="F387" si="48">SUM(H387:L387)</f>
        <v>8000</v>
      </c>
      <c r="G387" s="20"/>
      <c r="H387" s="27">
        <v>0</v>
      </c>
      <c r="I387" s="20"/>
      <c r="J387" s="27">
        <v>0</v>
      </c>
      <c r="K387" s="20"/>
      <c r="L387" s="27">
        <v>8000</v>
      </c>
      <c r="M387" s="20"/>
      <c r="N387" s="27">
        <v>0</v>
      </c>
      <c r="O387" s="20"/>
      <c r="P387" s="27">
        <v>8000</v>
      </c>
      <c r="Q387" s="20"/>
      <c r="R387" s="27">
        <v>0</v>
      </c>
    </row>
    <row r="388" spans="1:18" x14ac:dyDescent="0.2">
      <c r="A388" s="20"/>
      <c r="B388" s="20"/>
      <c r="C388" s="20"/>
      <c r="D388" s="20"/>
      <c r="E388" s="20"/>
      <c r="F388" s="21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</row>
    <row r="389" spans="1:18" x14ac:dyDescent="0.2">
      <c r="A389" s="20"/>
      <c r="B389" s="20"/>
      <c r="C389" s="20"/>
      <c r="D389" s="20"/>
      <c r="E389" s="20" t="s">
        <v>171</v>
      </c>
      <c r="F389" s="21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</row>
    <row r="390" spans="1:18" x14ac:dyDescent="0.2">
      <c r="A390" s="20"/>
      <c r="B390" s="20"/>
      <c r="C390" s="20"/>
      <c r="D390" s="20"/>
      <c r="E390" s="20" t="s">
        <v>172</v>
      </c>
      <c r="F390" s="28">
        <f>F383+F385+F387</f>
        <v>23184000</v>
      </c>
      <c r="G390" s="27">
        <f t="shared" ref="G390:R390" si="49">G383+G385+G387</f>
        <v>0</v>
      </c>
      <c r="H390" s="27">
        <f t="shared" si="49"/>
        <v>3699000</v>
      </c>
      <c r="I390" s="27">
        <f t="shared" si="49"/>
        <v>0</v>
      </c>
      <c r="J390" s="27">
        <f t="shared" si="49"/>
        <v>16295000</v>
      </c>
      <c r="K390" s="27">
        <f t="shared" si="49"/>
        <v>0</v>
      </c>
      <c r="L390" s="27">
        <f t="shared" si="49"/>
        <v>3190000</v>
      </c>
      <c r="M390" s="27">
        <f t="shared" si="49"/>
        <v>0</v>
      </c>
      <c r="N390" s="27">
        <f t="shared" si="49"/>
        <v>7948000</v>
      </c>
      <c r="O390" s="27">
        <f t="shared" si="49"/>
        <v>0</v>
      </c>
      <c r="P390" s="27">
        <f t="shared" si="49"/>
        <v>15236000</v>
      </c>
      <c r="Q390" s="27">
        <f t="shared" si="49"/>
        <v>0</v>
      </c>
      <c r="R390" s="27">
        <f t="shared" si="49"/>
        <v>0</v>
      </c>
    </row>
    <row r="391" spans="1:18" x14ac:dyDescent="0.2">
      <c r="A391" s="20"/>
      <c r="B391" s="20"/>
      <c r="C391" s="20"/>
      <c r="D391" s="20"/>
      <c r="E391" s="20"/>
      <c r="F391" s="21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1:18" x14ac:dyDescent="0.2">
      <c r="A392" s="22" t="s">
        <v>173</v>
      </c>
      <c r="B392" s="20"/>
      <c r="C392" s="20"/>
      <c r="D392" s="20"/>
      <c r="E392" s="20"/>
      <c r="F392" s="21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1:18" x14ac:dyDescent="0.2">
      <c r="A393" s="20"/>
      <c r="B393" s="20"/>
      <c r="C393" s="20"/>
      <c r="D393" s="20"/>
      <c r="E393" s="20"/>
      <c r="F393" s="21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1:18" x14ac:dyDescent="0.2">
      <c r="A394" s="20"/>
      <c r="B394" s="20" t="s">
        <v>13</v>
      </c>
      <c r="C394" s="20"/>
      <c r="D394" s="20"/>
      <c r="E394" s="20"/>
      <c r="F394" s="21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1:18" x14ac:dyDescent="0.2">
      <c r="A395" s="20"/>
      <c r="B395" s="20"/>
      <c r="C395" s="20" t="s">
        <v>14</v>
      </c>
      <c r="D395" s="20"/>
      <c r="E395" s="20"/>
      <c r="F395" s="31">
        <f t="shared" ref="F395:F408" si="50">SUM(H395:L395)</f>
        <v>2353000</v>
      </c>
      <c r="G395" s="20"/>
      <c r="H395" s="25">
        <v>2343000</v>
      </c>
      <c r="I395" s="20"/>
      <c r="J395" s="25">
        <v>1000</v>
      </c>
      <c r="K395" s="20"/>
      <c r="L395" s="25">
        <v>9000</v>
      </c>
      <c r="M395" s="20"/>
      <c r="N395" s="25">
        <v>1500000</v>
      </c>
      <c r="O395" s="20"/>
      <c r="P395" s="25">
        <v>853000</v>
      </c>
      <c r="Q395" s="20"/>
      <c r="R395" s="25">
        <v>0</v>
      </c>
    </row>
    <row r="396" spans="1:18" x14ac:dyDescent="0.2">
      <c r="A396" s="20"/>
      <c r="B396" s="20"/>
      <c r="C396" s="20" t="s">
        <v>39</v>
      </c>
      <c r="D396" s="20"/>
      <c r="E396" s="20"/>
      <c r="F396" s="31">
        <f t="shared" si="50"/>
        <v>5256000</v>
      </c>
      <c r="G396" s="20"/>
      <c r="H396" s="25">
        <v>3054000</v>
      </c>
      <c r="I396" s="20"/>
      <c r="J396" s="25">
        <v>918000</v>
      </c>
      <c r="K396" s="20"/>
      <c r="L396" s="25">
        <v>1284000</v>
      </c>
      <c r="M396" s="20"/>
      <c r="N396" s="25">
        <v>3132000</v>
      </c>
      <c r="O396" s="20"/>
      <c r="P396" s="25">
        <v>2126000</v>
      </c>
      <c r="Q396" s="20"/>
      <c r="R396" s="25">
        <v>2000</v>
      </c>
    </row>
    <row r="397" spans="1:18" x14ac:dyDescent="0.2">
      <c r="A397" s="20"/>
      <c r="B397" s="20"/>
      <c r="C397" s="20" t="s">
        <v>174</v>
      </c>
      <c r="D397" s="20"/>
      <c r="E397" s="20"/>
      <c r="F397" s="31">
        <f t="shared" si="50"/>
        <v>1805000</v>
      </c>
      <c r="G397" s="20"/>
      <c r="H397" s="25">
        <v>1806000</v>
      </c>
      <c r="I397" s="20"/>
      <c r="J397" s="25">
        <v>0</v>
      </c>
      <c r="K397" s="20"/>
      <c r="L397" s="25">
        <v>-1000</v>
      </c>
      <c r="M397" s="20"/>
      <c r="N397" s="25">
        <v>1268000</v>
      </c>
      <c r="O397" s="20"/>
      <c r="P397" s="25">
        <v>537000</v>
      </c>
      <c r="Q397" s="20"/>
      <c r="R397" s="25">
        <v>0</v>
      </c>
    </row>
    <row r="398" spans="1:18" x14ac:dyDescent="0.2">
      <c r="A398" s="20"/>
      <c r="B398" s="20"/>
      <c r="C398" s="20" t="s">
        <v>175</v>
      </c>
      <c r="D398" s="20"/>
      <c r="E398" s="20"/>
      <c r="F398" s="31">
        <f t="shared" si="50"/>
        <v>0</v>
      </c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</row>
    <row r="399" spans="1:18" x14ac:dyDescent="0.2">
      <c r="A399" s="20"/>
      <c r="B399" s="20"/>
      <c r="C399" s="20"/>
      <c r="D399" s="20"/>
      <c r="E399" s="20" t="s">
        <v>176</v>
      </c>
      <c r="F399" s="31">
        <f t="shared" si="50"/>
        <v>2951000</v>
      </c>
      <c r="G399" s="20"/>
      <c r="H399" s="25">
        <v>2703000</v>
      </c>
      <c r="I399" s="20"/>
      <c r="J399" s="25">
        <v>177000</v>
      </c>
      <c r="K399" s="20"/>
      <c r="L399" s="25">
        <v>71000</v>
      </c>
      <c r="M399" s="20"/>
      <c r="N399" s="25">
        <v>1449000</v>
      </c>
      <c r="O399" s="20"/>
      <c r="P399" s="25">
        <v>1502000</v>
      </c>
      <c r="Q399" s="20"/>
      <c r="R399" s="25">
        <v>0</v>
      </c>
    </row>
    <row r="400" spans="1:18" x14ac:dyDescent="0.2">
      <c r="A400" s="20"/>
      <c r="B400" s="20"/>
      <c r="C400" s="20" t="s">
        <v>25</v>
      </c>
      <c r="D400" s="20"/>
      <c r="E400" s="20"/>
      <c r="F400" s="31">
        <f t="shared" si="50"/>
        <v>41000</v>
      </c>
      <c r="G400" s="20"/>
      <c r="H400" s="25">
        <v>0</v>
      </c>
      <c r="I400" s="20"/>
      <c r="J400" s="25">
        <v>-32000</v>
      </c>
      <c r="K400" s="20"/>
      <c r="L400" s="25">
        <v>73000</v>
      </c>
      <c r="M400" s="20"/>
      <c r="N400" s="25">
        <v>81000</v>
      </c>
      <c r="O400" s="20"/>
      <c r="P400" s="25">
        <v>70000</v>
      </c>
      <c r="Q400" s="20"/>
      <c r="R400" s="25">
        <v>110000</v>
      </c>
    </row>
    <row r="401" spans="1:18" x14ac:dyDescent="0.2">
      <c r="A401" s="20"/>
      <c r="B401" s="20"/>
      <c r="C401" s="20" t="s">
        <v>17</v>
      </c>
      <c r="D401" s="20"/>
      <c r="E401" s="20"/>
      <c r="F401" s="31">
        <f t="shared" si="50"/>
        <v>1027000</v>
      </c>
      <c r="G401" s="20"/>
      <c r="H401" s="25">
        <v>1018000</v>
      </c>
      <c r="I401" s="20"/>
      <c r="J401" s="25">
        <v>9000</v>
      </c>
      <c r="K401" s="20"/>
      <c r="L401" s="25">
        <v>0</v>
      </c>
      <c r="M401" s="20"/>
      <c r="N401" s="25">
        <v>730000</v>
      </c>
      <c r="O401" s="20"/>
      <c r="P401" s="25">
        <v>297000</v>
      </c>
      <c r="Q401" s="20"/>
      <c r="R401" s="25">
        <v>0</v>
      </c>
    </row>
    <row r="402" spans="1:18" x14ac:dyDescent="0.2">
      <c r="A402" s="20"/>
      <c r="B402" s="20"/>
      <c r="C402" s="20" t="s">
        <v>18</v>
      </c>
      <c r="D402" s="20"/>
      <c r="E402" s="20"/>
      <c r="F402" s="31">
        <f t="shared" si="50"/>
        <v>546000</v>
      </c>
      <c r="G402" s="20"/>
      <c r="H402" s="25">
        <v>546000</v>
      </c>
      <c r="I402" s="20"/>
      <c r="J402" s="25">
        <v>0</v>
      </c>
      <c r="K402" s="20"/>
      <c r="L402" s="25">
        <v>0</v>
      </c>
      <c r="M402" s="20"/>
      <c r="N402" s="25">
        <v>387000</v>
      </c>
      <c r="O402" s="20"/>
      <c r="P402" s="25">
        <v>159000</v>
      </c>
      <c r="Q402" s="20"/>
      <c r="R402" s="25">
        <v>0</v>
      </c>
    </row>
    <row r="403" spans="1:18" x14ac:dyDescent="0.2">
      <c r="A403" s="20"/>
      <c r="B403" s="20"/>
      <c r="C403" s="20" t="s">
        <v>177</v>
      </c>
      <c r="D403" s="20"/>
      <c r="E403" s="20"/>
      <c r="F403" s="31">
        <f t="shared" si="50"/>
        <v>2056000</v>
      </c>
      <c r="G403" s="20"/>
      <c r="H403" s="25">
        <v>1988000</v>
      </c>
      <c r="I403" s="20"/>
      <c r="J403" s="25">
        <v>43000</v>
      </c>
      <c r="K403" s="20"/>
      <c r="L403" s="25">
        <v>25000</v>
      </c>
      <c r="M403" s="20"/>
      <c r="N403" s="25">
        <v>1333000</v>
      </c>
      <c r="O403" s="20"/>
      <c r="P403" s="25">
        <v>723000</v>
      </c>
      <c r="Q403" s="20"/>
      <c r="R403" s="25">
        <v>0</v>
      </c>
    </row>
    <row r="404" spans="1:18" x14ac:dyDescent="0.2">
      <c r="A404" s="20"/>
      <c r="B404" s="20"/>
      <c r="C404" s="20" t="s">
        <v>178</v>
      </c>
      <c r="D404" s="20"/>
      <c r="E404" s="20"/>
      <c r="F404" s="31">
        <f t="shared" si="50"/>
        <v>0</v>
      </c>
      <c r="G404" s="20"/>
      <c r="H404" s="25">
        <v>0</v>
      </c>
      <c r="I404" s="20"/>
      <c r="J404" s="25">
        <v>0</v>
      </c>
      <c r="K404" s="20"/>
      <c r="L404" s="25">
        <v>0</v>
      </c>
      <c r="M404" s="20"/>
      <c r="N404" s="25">
        <v>0</v>
      </c>
      <c r="O404" s="20"/>
      <c r="P404" s="25">
        <v>0</v>
      </c>
      <c r="Q404" s="20"/>
      <c r="R404" s="25">
        <v>0</v>
      </c>
    </row>
    <row r="405" spans="1:18" x14ac:dyDescent="0.2">
      <c r="A405" s="20"/>
      <c r="B405" s="20"/>
      <c r="C405" s="20" t="s">
        <v>179</v>
      </c>
      <c r="D405" s="20"/>
      <c r="E405" s="20"/>
      <c r="F405" s="31">
        <f t="shared" si="50"/>
        <v>1859000</v>
      </c>
      <c r="G405" s="20"/>
      <c r="H405" s="25">
        <v>1824000</v>
      </c>
      <c r="I405" s="20"/>
      <c r="J405" s="25">
        <v>10000</v>
      </c>
      <c r="K405" s="20"/>
      <c r="L405" s="25">
        <v>25000</v>
      </c>
      <c r="M405" s="20"/>
      <c r="N405" s="25">
        <v>1176000</v>
      </c>
      <c r="O405" s="20"/>
      <c r="P405" s="25">
        <v>683000</v>
      </c>
      <c r="Q405" s="20"/>
      <c r="R405" s="25">
        <v>0</v>
      </c>
    </row>
    <row r="406" spans="1:18" x14ac:dyDescent="0.2">
      <c r="A406" s="20"/>
      <c r="B406" s="20"/>
      <c r="C406" s="20" t="s">
        <v>180</v>
      </c>
      <c r="D406" s="20"/>
      <c r="E406" s="20"/>
      <c r="F406" s="31">
        <f t="shared" si="50"/>
        <v>2000</v>
      </c>
      <c r="G406" s="20"/>
      <c r="H406" s="25">
        <v>2000</v>
      </c>
      <c r="I406" s="20"/>
      <c r="J406" s="25">
        <v>0</v>
      </c>
      <c r="K406" s="20"/>
      <c r="L406" s="25">
        <v>0</v>
      </c>
      <c r="M406" s="20"/>
      <c r="N406" s="25">
        <v>0</v>
      </c>
      <c r="O406" s="20"/>
      <c r="P406" s="25">
        <v>2000</v>
      </c>
      <c r="Q406" s="20"/>
      <c r="R406" s="25">
        <v>0</v>
      </c>
    </row>
    <row r="407" spans="1:18" x14ac:dyDescent="0.2">
      <c r="A407" s="20"/>
      <c r="B407" s="20"/>
      <c r="C407" s="20" t="s">
        <v>21</v>
      </c>
      <c r="D407" s="20"/>
      <c r="E407" s="20"/>
      <c r="F407" s="31">
        <f t="shared" si="50"/>
        <v>0</v>
      </c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</row>
    <row r="408" spans="1:18" x14ac:dyDescent="0.2">
      <c r="A408" s="20"/>
      <c r="B408" s="20"/>
      <c r="C408" s="20"/>
      <c r="D408" s="20"/>
      <c r="E408" s="20" t="s">
        <v>23</v>
      </c>
      <c r="F408" s="28">
        <f t="shared" si="50"/>
        <v>816000</v>
      </c>
      <c r="G408" s="20"/>
      <c r="H408" s="27">
        <v>816000</v>
      </c>
      <c r="I408" s="20"/>
      <c r="J408" s="27">
        <v>0</v>
      </c>
      <c r="K408" s="20"/>
      <c r="L408" s="27">
        <v>0</v>
      </c>
      <c r="M408" s="20"/>
      <c r="N408" s="27">
        <v>578000</v>
      </c>
      <c r="O408" s="20"/>
      <c r="P408" s="27">
        <v>238000</v>
      </c>
      <c r="Q408" s="20"/>
      <c r="R408" s="27">
        <v>0</v>
      </c>
    </row>
    <row r="409" spans="1:18" x14ac:dyDescent="0.2">
      <c r="A409" s="20"/>
      <c r="B409" s="20"/>
      <c r="C409" s="20"/>
      <c r="D409" s="20"/>
      <c r="E409" s="20"/>
      <c r="F409" s="21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</row>
    <row r="410" spans="1:18" x14ac:dyDescent="0.2">
      <c r="A410" s="20"/>
      <c r="B410" s="20"/>
      <c r="C410" s="20"/>
      <c r="D410" s="20"/>
      <c r="E410" s="20" t="s">
        <v>3</v>
      </c>
      <c r="F410" s="28">
        <f>SUM(F395:F409)</f>
        <v>18712000</v>
      </c>
      <c r="G410" s="27">
        <f t="shared" ref="G410:R410" si="51">SUM(G395:G409)</f>
        <v>0</v>
      </c>
      <c r="H410" s="27">
        <f t="shared" si="51"/>
        <v>16100000</v>
      </c>
      <c r="I410" s="27">
        <f t="shared" si="51"/>
        <v>0</v>
      </c>
      <c r="J410" s="27">
        <f t="shared" si="51"/>
        <v>1126000</v>
      </c>
      <c r="K410" s="27">
        <f t="shared" si="51"/>
        <v>0</v>
      </c>
      <c r="L410" s="27">
        <f t="shared" si="51"/>
        <v>1486000</v>
      </c>
      <c r="M410" s="27">
        <f t="shared" si="51"/>
        <v>0</v>
      </c>
      <c r="N410" s="27">
        <f t="shared" si="51"/>
        <v>11634000</v>
      </c>
      <c r="O410" s="27">
        <f t="shared" si="51"/>
        <v>0</v>
      </c>
      <c r="P410" s="27">
        <f t="shared" si="51"/>
        <v>7190000</v>
      </c>
      <c r="Q410" s="27">
        <f t="shared" si="51"/>
        <v>0</v>
      </c>
      <c r="R410" s="27">
        <f t="shared" si="51"/>
        <v>112000</v>
      </c>
    </row>
    <row r="411" spans="1:18" x14ac:dyDescent="0.2">
      <c r="A411" s="20"/>
      <c r="B411" s="20"/>
      <c r="C411" s="20"/>
      <c r="D411" s="20"/>
      <c r="E411" s="20"/>
      <c r="F411" s="21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  <row r="412" spans="1:18" x14ac:dyDescent="0.2">
      <c r="A412" s="20"/>
      <c r="B412" s="20" t="s">
        <v>24</v>
      </c>
      <c r="C412" s="20"/>
      <c r="D412" s="20"/>
      <c r="E412" s="20"/>
      <c r="F412" s="21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</row>
    <row r="413" spans="1:18" x14ac:dyDescent="0.2">
      <c r="A413" s="20"/>
      <c r="B413" s="20"/>
      <c r="C413" s="20" t="s">
        <v>14</v>
      </c>
      <c r="D413" s="20"/>
      <c r="E413" s="20"/>
      <c r="F413" s="31">
        <f t="shared" ref="F413:F422" si="52">SUM(H413:L413)</f>
        <v>0</v>
      </c>
      <c r="G413" s="20"/>
      <c r="H413" s="25">
        <v>0</v>
      </c>
      <c r="I413" s="20"/>
      <c r="J413" s="25">
        <v>0</v>
      </c>
      <c r="K413" s="20"/>
      <c r="L413" s="25">
        <v>0</v>
      </c>
      <c r="M413" s="20"/>
      <c r="N413" s="25">
        <v>0</v>
      </c>
      <c r="O413" s="20"/>
      <c r="P413" s="25">
        <v>0</v>
      </c>
      <c r="Q413" s="20"/>
      <c r="R413" s="25">
        <v>0</v>
      </c>
    </row>
    <row r="414" spans="1:18" x14ac:dyDescent="0.2">
      <c r="A414" s="20"/>
      <c r="B414" s="20"/>
      <c r="C414" s="20" t="s">
        <v>39</v>
      </c>
      <c r="D414" s="20"/>
      <c r="E414" s="20"/>
      <c r="F414" s="31">
        <f t="shared" si="52"/>
        <v>2648000</v>
      </c>
      <c r="G414" s="20"/>
      <c r="H414" s="25">
        <v>2431000</v>
      </c>
      <c r="I414" s="20"/>
      <c r="J414" s="25">
        <v>37000</v>
      </c>
      <c r="K414" s="20"/>
      <c r="L414" s="25">
        <v>180000</v>
      </c>
      <c r="M414" s="20"/>
      <c r="N414" s="25">
        <v>1626000</v>
      </c>
      <c r="O414" s="20"/>
      <c r="P414" s="25">
        <v>1022000</v>
      </c>
      <c r="Q414" s="20"/>
      <c r="R414" s="25">
        <v>0</v>
      </c>
    </row>
    <row r="415" spans="1:18" x14ac:dyDescent="0.2">
      <c r="A415" s="20"/>
      <c r="B415" s="20"/>
      <c r="C415" s="20" t="s">
        <v>175</v>
      </c>
      <c r="D415" s="20"/>
      <c r="E415" s="20"/>
      <c r="F415" s="31"/>
      <c r="G415" s="20"/>
      <c r="H415" s="25"/>
      <c r="I415" s="20"/>
      <c r="J415" s="25"/>
      <c r="K415" s="20"/>
      <c r="L415" s="25"/>
      <c r="M415" s="20"/>
      <c r="N415" s="25"/>
      <c r="O415" s="20"/>
      <c r="P415" s="25"/>
      <c r="Q415" s="20"/>
      <c r="R415" s="25"/>
    </row>
    <row r="416" spans="1:18" x14ac:dyDescent="0.2">
      <c r="A416" s="20"/>
      <c r="B416" s="20"/>
      <c r="C416" s="20"/>
      <c r="D416" s="20"/>
      <c r="E416" s="20" t="s">
        <v>176</v>
      </c>
      <c r="F416" s="31">
        <f t="shared" si="52"/>
        <v>64000</v>
      </c>
      <c r="G416" s="20"/>
      <c r="H416" s="25">
        <v>69000</v>
      </c>
      <c r="I416" s="20"/>
      <c r="J416" s="25">
        <v>-5000</v>
      </c>
      <c r="K416" s="20"/>
      <c r="L416" s="25">
        <v>0</v>
      </c>
      <c r="M416" s="20"/>
      <c r="N416" s="25">
        <v>15000</v>
      </c>
      <c r="O416" s="20"/>
      <c r="P416" s="25">
        <v>49000</v>
      </c>
      <c r="Q416" s="20"/>
      <c r="R416" s="25">
        <v>0</v>
      </c>
    </row>
    <row r="417" spans="1:18" x14ac:dyDescent="0.2">
      <c r="A417" s="20"/>
      <c r="B417" s="20"/>
      <c r="C417" s="20" t="s">
        <v>181</v>
      </c>
      <c r="D417" s="20"/>
      <c r="E417" s="20"/>
      <c r="F417" s="31">
        <f t="shared" si="52"/>
        <v>0</v>
      </c>
      <c r="G417" s="20"/>
      <c r="H417" s="25">
        <v>0</v>
      </c>
      <c r="I417" s="20"/>
      <c r="J417" s="25">
        <v>0</v>
      </c>
      <c r="K417" s="20"/>
      <c r="L417" s="25">
        <v>0</v>
      </c>
      <c r="M417" s="20"/>
      <c r="N417" s="25">
        <v>0</v>
      </c>
      <c r="O417" s="20"/>
      <c r="P417" s="25">
        <v>0</v>
      </c>
      <c r="Q417" s="20"/>
      <c r="R417" s="25">
        <v>0</v>
      </c>
    </row>
    <row r="418" spans="1:18" x14ac:dyDescent="0.2">
      <c r="A418" s="20"/>
      <c r="B418" s="20"/>
      <c r="C418" s="20" t="s">
        <v>17</v>
      </c>
      <c r="D418" s="20"/>
      <c r="E418" s="20"/>
      <c r="F418" s="31">
        <f t="shared" si="52"/>
        <v>54000</v>
      </c>
      <c r="G418" s="20"/>
      <c r="H418" s="25">
        <v>0</v>
      </c>
      <c r="I418" s="20"/>
      <c r="J418" s="25">
        <v>0</v>
      </c>
      <c r="K418" s="20"/>
      <c r="L418" s="25">
        <v>54000</v>
      </c>
      <c r="M418" s="20"/>
      <c r="N418" s="25">
        <v>22000</v>
      </c>
      <c r="O418" s="20"/>
      <c r="P418" s="25">
        <v>32000</v>
      </c>
      <c r="Q418" s="20"/>
      <c r="R418" s="25">
        <v>0</v>
      </c>
    </row>
    <row r="419" spans="1:18" x14ac:dyDescent="0.2">
      <c r="A419" s="20"/>
      <c r="B419" s="20"/>
      <c r="C419" s="20" t="s">
        <v>18</v>
      </c>
      <c r="D419" s="20"/>
      <c r="E419" s="20"/>
      <c r="F419" s="31">
        <f t="shared" si="52"/>
        <v>0</v>
      </c>
      <c r="G419" s="20"/>
      <c r="H419" s="25">
        <v>0</v>
      </c>
      <c r="I419" s="20"/>
      <c r="J419" s="25">
        <v>0</v>
      </c>
      <c r="K419" s="20"/>
      <c r="L419" s="25">
        <v>0</v>
      </c>
      <c r="M419" s="20"/>
      <c r="N419" s="25">
        <v>0</v>
      </c>
      <c r="O419" s="20"/>
      <c r="P419" s="25">
        <v>0</v>
      </c>
      <c r="Q419" s="20"/>
      <c r="R419" s="25">
        <v>0</v>
      </c>
    </row>
    <row r="420" spans="1:18" x14ac:dyDescent="0.2">
      <c r="A420" s="20"/>
      <c r="B420" s="20"/>
      <c r="C420" s="20" t="s">
        <v>177</v>
      </c>
      <c r="D420" s="20"/>
      <c r="E420" s="20"/>
      <c r="F420" s="31">
        <f t="shared" si="52"/>
        <v>0</v>
      </c>
      <c r="G420" s="20"/>
      <c r="H420" s="25">
        <v>0</v>
      </c>
      <c r="I420" s="20"/>
      <c r="J420" s="25">
        <v>0</v>
      </c>
      <c r="K420" s="20"/>
      <c r="L420" s="25">
        <v>0</v>
      </c>
      <c r="M420" s="20"/>
      <c r="N420" s="25">
        <v>0</v>
      </c>
      <c r="O420" s="20"/>
      <c r="P420" s="25">
        <v>0</v>
      </c>
      <c r="Q420" s="20"/>
      <c r="R420" s="25">
        <v>0</v>
      </c>
    </row>
    <row r="421" spans="1:18" x14ac:dyDescent="0.2">
      <c r="A421" s="20"/>
      <c r="B421" s="20"/>
      <c r="C421" s="20" t="s">
        <v>179</v>
      </c>
      <c r="D421" s="20"/>
      <c r="E421" s="20"/>
      <c r="F421" s="31">
        <f t="shared" si="52"/>
        <v>1043000</v>
      </c>
      <c r="G421" s="20"/>
      <c r="H421" s="25">
        <v>969000</v>
      </c>
      <c r="I421" s="20"/>
      <c r="J421" s="25">
        <v>10000</v>
      </c>
      <c r="K421" s="20"/>
      <c r="L421" s="25">
        <v>64000</v>
      </c>
      <c r="M421" s="20"/>
      <c r="N421" s="25">
        <v>567000</v>
      </c>
      <c r="O421" s="20"/>
      <c r="P421" s="25">
        <v>476000</v>
      </c>
      <c r="Q421" s="20"/>
      <c r="R421" s="25">
        <v>0</v>
      </c>
    </row>
    <row r="422" spans="1:18" x14ac:dyDescent="0.2">
      <c r="A422" s="20"/>
      <c r="B422" s="20"/>
      <c r="C422" s="20" t="s">
        <v>180</v>
      </c>
      <c r="D422" s="20"/>
      <c r="E422" s="20"/>
      <c r="F422" s="28">
        <f t="shared" si="52"/>
        <v>2501000</v>
      </c>
      <c r="G422" s="20"/>
      <c r="H422" s="27">
        <v>1000</v>
      </c>
      <c r="I422" s="20"/>
      <c r="J422" s="27">
        <v>45000</v>
      </c>
      <c r="K422" s="20"/>
      <c r="L422" s="27">
        <v>2455000</v>
      </c>
      <c r="M422" s="20"/>
      <c r="N422" s="27">
        <v>1524000</v>
      </c>
      <c r="O422" s="20"/>
      <c r="P422" s="27">
        <v>977000</v>
      </c>
      <c r="Q422" s="20"/>
      <c r="R422" s="27">
        <v>0</v>
      </c>
    </row>
    <row r="423" spans="1:18" x14ac:dyDescent="0.2">
      <c r="A423" s="20"/>
      <c r="B423" s="20"/>
      <c r="C423" s="20"/>
      <c r="D423" s="20"/>
      <c r="E423" s="20"/>
      <c r="F423" s="21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</row>
    <row r="424" spans="1:18" x14ac:dyDescent="0.2">
      <c r="A424" s="20"/>
      <c r="B424" s="20"/>
      <c r="C424" s="20"/>
      <c r="D424" s="20"/>
      <c r="E424" s="20" t="s">
        <v>3</v>
      </c>
      <c r="F424" s="28">
        <f>SUM(F413:F423)</f>
        <v>6310000</v>
      </c>
      <c r="G424" s="27">
        <f t="shared" ref="G424:R424" si="53">SUM(G413:G423)</f>
        <v>0</v>
      </c>
      <c r="H424" s="27">
        <f t="shared" si="53"/>
        <v>3470000</v>
      </c>
      <c r="I424" s="27">
        <f t="shared" si="53"/>
        <v>0</v>
      </c>
      <c r="J424" s="27">
        <f t="shared" si="53"/>
        <v>87000</v>
      </c>
      <c r="K424" s="27">
        <f t="shared" si="53"/>
        <v>0</v>
      </c>
      <c r="L424" s="27">
        <f t="shared" si="53"/>
        <v>2753000</v>
      </c>
      <c r="M424" s="27">
        <f t="shared" si="53"/>
        <v>0</v>
      </c>
      <c r="N424" s="27">
        <f t="shared" si="53"/>
        <v>3754000</v>
      </c>
      <c r="O424" s="27">
        <f t="shared" si="53"/>
        <v>0</v>
      </c>
      <c r="P424" s="27">
        <f t="shared" si="53"/>
        <v>2556000</v>
      </c>
      <c r="Q424" s="27">
        <f t="shared" si="53"/>
        <v>0</v>
      </c>
      <c r="R424" s="27">
        <f t="shared" si="53"/>
        <v>0</v>
      </c>
    </row>
    <row r="425" spans="1:18" x14ac:dyDescent="0.2">
      <c r="A425" s="20"/>
      <c r="B425" s="20"/>
      <c r="C425" s="20"/>
      <c r="D425" s="20"/>
      <c r="E425" s="20"/>
      <c r="F425" s="21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</row>
    <row r="426" spans="1:18" x14ac:dyDescent="0.2">
      <c r="A426" s="20"/>
      <c r="B426" s="20" t="s">
        <v>28</v>
      </c>
      <c r="C426" s="20"/>
      <c r="D426" s="20"/>
      <c r="E426" s="20"/>
      <c r="F426" s="28">
        <f t="shared" ref="F426:F428" si="54">SUM(H426:L426)</f>
        <v>56000</v>
      </c>
      <c r="G426" s="20"/>
      <c r="H426" s="27">
        <v>1000</v>
      </c>
      <c r="I426" s="20"/>
      <c r="J426" s="27">
        <v>18000</v>
      </c>
      <c r="K426" s="20"/>
      <c r="L426" s="27">
        <v>37000</v>
      </c>
      <c r="M426" s="20"/>
      <c r="N426" s="27">
        <v>34000</v>
      </c>
      <c r="O426" s="20"/>
      <c r="P426" s="27">
        <v>22000</v>
      </c>
      <c r="Q426" s="20"/>
      <c r="R426" s="27">
        <v>0</v>
      </c>
    </row>
    <row r="427" spans="1:18" x14ac:dyDescent="0.2">
      <c r="A427" s="20"/>
      <c r="B427" s="20"/>
      <c r="C427" s="20"/>
      <c r="D427" s="20"/>
      <c r="E427" s="20"/>
      <c r="F427" s="21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</row>
    <row r="428" spans="1:18" x14ac:dyDescent="0.2">
      <c r="A428" s="20"/>
      <c r="B428" s="20" t="s">
        <v>29</v>
      </c>
      <c r="C428" s="20"/>
      <c r="D428" s="20"/>
      <c r="E428" s="20"/>
      <c r="F428" s="28">
        <f t="shared" si="54"/>
        <v>33000</v>
      </c>
      <c r="G428" s="20"/>
      <c r="H428" s="27">
        <v>0</v>
      </c>
      <c r="I428" s="20"/>
      <c r="J428" s="27">
        <v>0</v>
      </c>
      <c r="K428" s="20"/>
      <c r="L428" s="27">
        <v>33000</v>
      </c>
      <c r="M428" s="20"/>
      <c r="N428" s="27">
        <v>0</v>
      </c>
      <c r="O428" s="20"/>
      <c r="P428" s="27">
        <v>33000</v>
      </c>
      <c r="Q428" s="20"/>
      <c r="R428" s="27">
        <v>0</v>
      </c>
    </row>
    <row r="429" spans="1:18" x14ac:dyDescent="0.2">
      <c r="A429" s="20"/>
      <c r="B429" s="20"/>
      <c r="C429" s="20"/>
      <c r="D429" s="20"/>
      <c r="E429" s="20"/>
      <c r="F429" s="21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</row>
    <row r="430" spans="1:18" x14ac:dyDescent="0.2">
      <c r="A430" s="20"/>
      <c r="B430" s="20"/>
      <c r="C430" s="20"/>
      <c r="D430" s="20"/>
      <c r="E430" s="20" t="s">
        <v>182</v>
      </c>
      <c r="F430" s="21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</row>
    <row r="431" spans="1:18" x14ac:dyDescent="0.2">
      <c r="A431" s="20"/>
      <c r="B431" s="20"/>
      <c r="C431" s="20"/>
      <c r="D431" s="20"/>
      <c r="E431" s="20" t="s">
        <v>183</v>
      </c>
      <c r="F431" s="28">
        <f>F410+F424+F426+F428</f>
        <v>25111000</v>
      </c>
      <c r="G431" s="27">
        <f t="shared" ref="G431:R431" si="55">G410+G424+G426+G428</f>
        <v>0</v>
      </c>
      <c r="H431" s="27">
        <f t="shared" si="55"/>
        <v>19571000</v>
      </c>
      <c r="I431" s="27">
        <f t="shared" si="55"/>
        <v>0</v>
      </c>
      <c r="J431" s="27">
        <f t="shared" si="55"/>
        <v>1231000</v>
      </c>
      <c r="K431" s="27">
        <f t="shared" si="55"/>
        <v>0</v>
      </c>
      <c r="L431" s="27">
        <f t="shared" si="55"/>
        <v>4309000</v>
      </c>
      <c r="M431" s="27">
        <f t="shared" si="55"/>
        <v>0</v>
      </c>
      <c r="N431" s="27">
        <f t="shared" si="55"/>
        <v>15422000</v>
      </c>
      <c r="O431" s="27">
        <f t="shared" si="55"/>
        <v>0</v>
      </c>
      <c r="P431" s="27">
        <f t="shared" si="55"/>
        <v>9801000</v>
      </c>
      <c r="Q431" s="27">
        <f t="shared" si="55"/>
        <v>0</v>
      </c>
      <c r="R431" s="27">
        <f t="shared" si="55"/>
        <v>112000</v>
      </c>
    </row>
    <row r="432" spans="1:18" x14ac:dyDescent="0.2">
      <c r="A432" s="20"/>
      <c r="B432" s="20"/>
      <c r="C432" s="20"/>
      <c r="D432" s="20"/>
      <c r="E432" s="20"/>
      <c r="F432" s="21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</row>
    <row r="433" spans="1:18" x14ac:dyDescent="0.2">
      <c r="A433" s="22" t="s">
        <v>184</v>
      </c>
      <c r="B433" s="20"/>
      <c r="C433" s="20"/>
      <c r="D433" s="20"/>
      <c r="E433" s="20"/>
      <c r="F433" s="21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</row>
    <row r="434" spans="1:18" x14ac:dyDescent="0.2">
      <c r="A434" s="20"/>
      <c r="B434" s="20"/>
      <c r="C434" s="20"/>
      <c r="D434" s="20"/>
      <c r="E434" s="20"/>
      <c r="F434" s="21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</row>
    <row r="435" spans="1:18" x14ac:dyDescent="0.2">
      <c r="A435" s="20"/>
      <c r="B435" s="20" t="s">
        <v>13</v>
      </c>
      <c r="C435" s="20"/>
      <c r="D435" s="20"/>
      <c r="E435" s="20"/>
      <c r="F435" s="28">
        <f t="shared" ref="F435" si="56">SUM(H435:L435)</f>
        <v>9900000</v>
      </c>
      <c r="G435" s="20"/>
      <c r="H435" s="27">
        <v>6483000</v>
      </c>
      <c r="I435" s="20"/>
      <c r="J435" s="27">
        <v>3280000</v>
      </c>
      <c r="K435" s="20"/>
      <c r="L435" s="27">
        <v>137000</v>
      </c>
      <c r="M435" s="20"/>
      <c r="N435" s="27">
        <v>6543000</v>
      </c>
      <c r="O435" s="20"/>
      <c r="P435" s="27">
        <v>3357000</v>
      </c>
      <c r="Q435" s="20"/>
      <c r="R435" s="27">
        <v>0</v>
      </c>
    </row>
    <row r="436" spans="1:18" x14ac:dyDescent="0.2">
      <c r="A436" s="20"/>
      <c r="B436" s="20"/>
      <c r="C436" s="20"/>
      <c r="D436" s="20"/>
      <c r="E436" s="20"/>
      <c r="F436" s="21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</row>
    <row r="437" spans="1:18" x14ac:dyDescent="0.2">
      <c r="A437" s="20"/>
      <c r="B437" s="20" t="s">
        <v>24</v>
      </c>
      <c r="C437" s="20"/>
      <c r="D437" s="20"/>
      <c r="E437" s="20"/>
      <c r="F437" s="28">
        <f t="shared" ref="F437" si="57">SUM(H437:L437)</f>
        <v>7262000</v>
      </c>
      <c r="G437" s="20"/>
      <c r="H437" s="27">
        <v>47000</v>
      </c>
      <c r="I437" s="20"/>
      <c r="J437" s="27">
        <v>25000</v>
      </c>
      <c r="K437" s="20"/>
      <c r="L437" s="27">
        <v>7190000</v>
      </c>
      <c r="M437" s="20"/>
      <c r="N437" s="27">
        <v>3948000</v>
      </c>
      <c r="O437" s="20"/>
      <c r="P437" s="27">
        <v>3314000</v>
      </c>
      <c r="Q437" s="20"/>
      <c r="R437" s="27">
        <v>0</v>
      </c>
    </row>
    <row r="438" spans="1:18" x14ac:dyDescent="0.2">
      <c r="A438" s="20"/>
      <c r="B438" s="20"/>
      <c r="C438" s="20"/>
      <c r="D438" s="20"/>
      <c r="E438" s="20"/>
      <c r="F438" s="21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</row>
    <row r="439" spans="1:18" x14ac:dyDescent="0.2">
      <c r="A439" s="20"/>
      <c r="B439" s="20" t="s">
        <v>28</v>
      </c>
      <c r="C439" s="20"/>
      <c r="D439" s="20"/>
      <c r="E439" s="20"/>
      <c r="F439" s="28">
        <f t="shared" ref="F439" si="58">SUM(H439:L439)</f>
        <v>0</v>
      </c>
      <c r="G439" s="20"/>
      <c r="H439" s="27">
        <v>0</v>
      </c>
      <c r="I439" s="20"/>
      <c r="J439" s="27">
        <v>0</v>
      </c>
      <c r="K439" s="20"/>
      <c r="L439" s="27">
        <v>0</v>
      </c>
      <c r="M439" s="20"/>
      <c r="N439" s="27">
        <v>0</v>
      </c>
      <c r="O439" s="20"/>
      <c r="P439" s="27">
        <v>0</v>
      </c>
      <c r="Q439" s="20"/>
      <c r="R439" s="27">
        <v>0</v>
      </c>
    </row>
    <row r="440" spans="1:18" x14ac:dyDescent="0.2">
      <c r="A440" s="20"/>
      <c r="B440" s="20"/>
      <c r="C440" s="20"/>
      <c r="D440" s="20"/>
      <c r="E440" s="20"/>
      <c r="F440" s="21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</row>
    <row r="441" spans="1:18" x14ac:dyDescent="0.2">
      <c r="A441" s="20"/>
      <c r="B441" s="20" t="s">
        <v>29</v>
      </c>
      <c r="C441" s="20"/>
      <c r="D441" s="20"/>
      <c r="E441" s="20"/>
      <c r="F441" s="28">
        <f t="shared" ref="F441" si="59">SUM(H441:L441)</f>
        <v>10082000</v>
      </c>
      <c r="G441" s="20"/>
      <c r="H441" s="27">
        <v>175000</v>
      </c>
      <c r="I441" s="20"/>
      <c r="J441" s="27">
        <v>9114000</v>
      </c>
      <c r="K441" s="20"/>
      <c r="L441" s="27">
        <v>793000</v>
      </c>
      <c r="M441" s="20"/>
      <c r="N441" s="27">
        <v>5716000</v>
      </c>
      <c r="O441" s="20"/>
      <c r="P441" s="27">
        <v>4366000</v>
      </c>
      <c r="Q441" s="20"/>
      <c r="R441" s="27">
        <v>0</v>
      </c>
    </row>
    <row r="442" spans="1:18" x14ac:dyDescent="0.2">
      <c r="A442" s="20"/>
      <c r="B442" s="20"/>
      <c r="C442" s="20"/>
      <c r="D442" s="20"/>
      <c r="E442" s="20"/>
      <c r="F442" s="21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</row>
    <row r="443" spans="1:18" x14ac:dyDescent="0.2">
      <c r="A443" s="20"/>
      <c r="B443" s="20"/>
      <c r="C443" s="20"/>
      <c r="D443" s="20"/>
      <c r="E443" s="20" t="s">
        <v>185</v>
      </c>
      <c r="F443" s="28">
        <f>F435+F437+F439+F441</f>
        <v>27244000</v>
      </c>
      <c r="G443" s="28">
        <f t="shared" ref="G443:R443" si="60">G435+G437+G439+G441</f>
        <v>0</v>
      </c>
      <c r="H443" s="28">
        <f t="shared" si="60"/>
        <v>6705000</v>
      </c>
      <c r="I443" s="28">
        <f t="shared" si="60"/>
        <v>0</v>
      </c>
      <c r="J443" s="28">
        <f t="shared" si="60"/>
        <v>12419000</v>
      </c>
      <c r="K443" s="28">
        <f t="shared" si="60"/>
        <v>0</v>
      </c>
      <c r="L443" s="28">
        <f t="shared" si="60"/>
        <v>8120000</v>
      </c>
      <c r="M443" s="28">
        <f t="shared" si="60"/>
        <v>0</v>
      </c>
      <c r="N443" s="28">
        <f t="shared" si="60"/>
        <v>16207000</v>
      </c>
      <c r="O443" s="28">
        <f t="shared" si="60"/>
        <v>0</v>
      </c>
      <c r="P443" s="28">
        <f t="shared" si="60"/>
        <v>11037000</v>
      </c>
      <c r="Q443" s="28">
        <f t="shared" si="60"/>
        <v>0</v>
      </c>
      <c r="R443" s="28">
        <f t="shared" si="60"/>
        <v>0</v>
      </c>
    </row>
    <row r="444" spans="1:18" x14ac:dyDescent="0.2">
      <c r="A444" s="20"/>
      <c r="B444" s="20"/>
      <c r="C444" s="20"/>
      <c r="D444" s="20"/>
      <c r="E444" s="20"/>
      <c r="F444" s="21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</row>
    <row r="445" spans="1:18" x14ac:dyDescent="0.2">
      <c r="A445" s="22" t="s">
        <v>186</v>
      </c>
      <c r="B445" s="20"/>
      <c r="C445" s="20"/>
      <c r="D445" s="20"/>
      <c r="E445" s="20"/>
      <c r="F445" s="21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</row>
    <row r="446" spans="1:18" x14ac:dyDescent="0.2">
      <c r="A446" s="20"/>
      <c r="B446" s="20"/>
      <c r="C446" s="20"/>
      <c r="D446" s="20"/>
      <c r="E446" s="20"/>
      <c r="F446" s="21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</row>
    <row r="447" spans="1:18" x14ac:dyDescent="0.2">
      <c r="A447" s="20"/>
      <c r="B447" s="20" t="s">
        <v>13</v>
      </c>
      <c r="C447" s="20"/>
      <c r="D447" s="20"/>
      <c r="E447" s="20"/>
      <c r="F447" s="28">
        <f t="shared" ref="F447" si="61">SUM(H447:L447)</f>
        <v>26523000</v>
      </c>
      <c r="G447" s="20"/>
      <c r="H447" s="27">
        <v>15233000</v>
      </c>
      <c r="I447" s="20"/>
      <c r="J447" s="27">
        <v>8549000</v>
      </c>
      <c r="K447" s="20"/>
      <c r="L447" s="27">
        <v>2741000</v>
      </c>
      <c r="M447" s="20"/>
      <c r="N447" s="27">
        <v>16705000</v>
      </c>
      <c r="O447" s="20"/>
      <c r="P447" s="27">
        <v>9818000</v>
      </c>
      <c r="Q447" s="20"/>
      <c r="R447" s="27">
        <v>0</v>
      </c>
    </row>
    <row r="448" spans="1:18" x14ac:dyDescent="0.2">
      <c r="A448" s="20"/>
      <c r="B448" s="20"/>
      <c r="C448" s="20"/>
      <c r="D448" s="20"/>
      <c r="E448" s="20"/>
      <c r="F448" s="21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</row>
    <row r="449" spans="1:18" x14ac:dyDescent="0.2">
      <c r="A449" s="20"/>
      <c r="B449" s="20" t="s">
        <v>24</v>
      </c>
      <c r="C449" s="20"/>
      <c r="D449" s="20"/>
      <c r="E449" s="20"/>
      <c r="F449" s="28">
        <f t="shared" ref="F449" si="62">SUM(H449:L449)</f>
        <v>40906000</v>
      </c>
      <c r="G449" s="20"/>
      <c r="H449" s="27">
        <v>555000</v>
      </c>
      <c r="I449" s="20"/>
      <c r="J449" s="27">
        <v>1062000</v>
      </c>
      <c r="K449" s="20"/>
      <c r="L449" s="27">
        <v>39289000</v>
      </c>
      <c r="M449" s="20"/>
      <c r="N449" s="27">
        <v>17848000</v>
      </c>
      <c r="O449" s="20"/>
      <c r="P449" s="27">
        <v>23058000</v>
      </c>
      <c r="Q449" s="20"/>
      <c r="R449" s="27">
        <v>0</v>
      </c>
    </row>
    <row r="450" spans="1:18" x14ac:dyDescent="0.2">
      <c r="A450" s="20"/>
      <c r="B450" s="20"/>
      <c r="C450" s="20"/>
      <c r="D450" s="20"/>
      <c r="E450" s="20"/>
      <c r="F450" s="21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</row>
    <row r="451" spans="1:18" x14ac:dyDescent="0.2">
      <c r="A451" s="20"/>
      <c r="B451" s="20" t="s">
        <v>28</v>
      </c>
      <c r="C451" s="20"/>
      <c r="D451" s="20"/>
      <c r="E451" s="20"/>
      <c r="F451" s="28">
        <f t="shared" ref="F451" si="63">SUM(H451:L451)</f>
        <v>1095000</v>
      </c>
      <c r="G451" s="20"/>
      <c r="H451" s="27">
        <v>-1000</v>
      </c>
      <c r="I451" s="20"/>
      <c r="J451" s="27">
        <v>4000</v>
      </c>
      <c r="K451" s="20"/>
      <c r="L451" s="27">
        <v>1092000</v>
      </c>
      <c r="M451" s="20"/>
      <c r="N451" s="27">
        <v>407000</v>
      </c>
      <c r="O451" s="20"/>
      <c r="P451" s="27">
        <v>688000</v>
      </c>
      <c r="Q451" s="20"/>
      <c r="R451" s="27">
        <v>0</v>
      </c>
    </row>
    <row r="452" spans="1:18" x14ac:dyDescent="0.2">
      <c r="A452" s="20"/>
      <c r="B452" s="20"/>
      <c r="C452" s="20"/>
      <c r="D452" s="20"/>
      <c r="E452" s="20"/>
      <c r="F452" s="21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</row>
    <row r="453" spans="1:18" x14ac:dyDescent="0.2">
      <c r="A453" s="20"/>
      <c r="B453" s="20" t="s">
        <v>29</v>
      </c>
      <c r="C453" s="20"/>
      <c r="D453" s="20"/>
      <c r="E453" s="20"/>
      <c r="F453" s="28">
        <f t="shared" ref="F453" si="64">SUM(H453:L453)</f>
        <v>391000</v>
      </c>
      <c r="G453" s="20"/>
      <c r="H453" s="27">
        <v>355000</v>
      </c>
      <c r="I453" s="20"/>
      <c r="J453" s="27">
        <v>1000</v>
      </c>
      <c r="K453" s="20"/>
      <c r="L453" s="27">
        <v>35000</v>
      </c>
      <c r="M453" s="20"/>
      <c r="N453" s="27">
        <v>249000</v>
      </c>
      <c r="O453" s="20"/>
      <c r="P453" s="27">
        <v>142000</v>
      </c>
      <c r="Q453" s="20"/>
      <c r="R453" s="27">
        <v>0</v>
      </c>
    </row>
    <row r="454" spans="1:18" x14ac:dyDescent="0.2">
      <c r="A454" s="20"/>
      <c r="B454" s="20"/>
      <c r="C454" s="20"/>
      <c r="D454" s="20"/>
      <c r="E454" s="20"/>
      <c r="F454" s="21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</row>
    <row r="455" spans="1:18" x14ac:dyDescent="0.2">
      <c r="A455" s="20"/>
      <c r="B455" s="20"/>
      <c r="C455" s="20"/>
      <c r="D455" s="20"/>
      <c r="E455" s="20" t="s">
        <v>187</v>
      </c>
      <c r="F455" s="28">
        <f>F447+F449+F451+F453</f>
        <v>68915000</v>
      </c>
      <c r="G455" s="28">
        <f t="shared" ref="G455:R455" si="65">G447+G449+G451+G453</f>
        <v>0</v>
      </c>
      <c r="H455" s="28">
        <f t="shared" si="65"/>
        <v>16142000</v>
      </c>
      <c r="I455" s="28">
        <f t="shared" si="65"/>
        <v>0</v>
      </c>
      <c r="J455" s="28">
        <f t="shared" si="65"/>
        <v>9616000</v>
      </c>
      <c r="K455" s="28">
        <f t="shared" si="65"/>
        <v>0</v>
      </c>
      <c r="L455" s="28">
        <f t="shared" si="65"/>
        <v>43157000</v>
      </c>
      <c r="M455" s="28">
        <f t="shared" si="65"/>
        <v>0</v>
      </c>
      <c r="N455" s="28">
        <f t="shared" si="65"/>
        <v>35209000</v>
      </c>
      <c r="O455" s="28">
        <f t="shared" si="65"/>
        <v>0</v>
      </c>
      <c r="P455" s="28">
        <f t="shared" si="65"/>
        <v>33706000</v>
      </c>
      <c r="Q455" s="28">
        <f t="shared" si="65"/>
        <v>0</v>
      </c>
      <c r="R455" s="28">
        <f t="shared" si="65"/>
        <v>0</v>
      </c>
    </row>
    <row r="456" spans="1:18" x14ac:dyDescent="0.2">
      <c r="A456" s="20"/>
      <c r="B456" s="20"/>
      <c r="C456" s="20"/>
      <c r="D456" s="20"/>
      <c r="E456" s="20"/>
      <c r="F456" s="21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</row>
    <row r="457" spans="1:18" x14ac:dyDescent="0.2">
      <c r="A457" s="22" t="s">
        <v>188</v>
      </c>
      <c r="B457" s="20"/>
      <c r="C457" s="20"/>
      <c r="D457" s="20"/>
      <c r="E457" s="20"/>
      <c r="F457" s="21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</row>
    <row r="458" spans="1:18" x14ac:dyDescent="0.2">
      <c r="A458" s="20"/>
      <c r="B458" s="22" t="s">
        <v>189</v>
      </c>
      <c r="C458" s="20"/>
      <c r="D458" s="20"/>
      <c r="E458" s="20"/>
      <c r="F458" s="21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</row>
    <row r="459" spans="1:18" x14ac:dyDescent="0.2">
      <c r="A459" s="20"/>
      <c r="B459" s="20"/>
      <c r="C459" s="20"/>
      <c r="D459" s="20"/>
      <c r="E459" s="20"/>
      <c r="F459" s="21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</row>
    <row r="460" spans="1:18" x14ac:dyDescent="0.2">
      <c r="A460" s="20"/>
      <c r="B460" s="20" t="s">
        <v>13</v>
      </c>
      <c r="C460" s="20"/>
      <c r="D460" s="20"/>
      <c r="E460" s="20"/>
      <c r="F460" s="28">
        <f t="shared" ref="F460" si="66">SUM(H460:L460)</f>
        <v>12315000</v>
      </c>
      <c r="G460" s="20"/>
      <c r="H460" s="27">
        <v>6029000</v>
      </c>
      <c r="I460" s="20"/>
      <c r="J460" s="27">
        <v>3984000</v>
      </c>
      <c r="K460" s="20"/>
      <c r="L460" s="27">
        <v>2302000</v>
      </c>
      <c r="M460" s="20"/>
      <c r="N460" s="27">
        <v>7636000</v>
      </c>
      <c r="O460" s="20"/>
      <c r="P460" s="27">
        <v>4679000</v>
      </c>
      <c r="Q460" s="20"/>
      <c r="R460" s="27">
        <v>0</v>
      </c>
    </row>
    <row r="461" spans="1:18" x14ac:dyDescent="0.2">
      <c r="A461" s="20"/>
      <c r="B461" s="20"/>
      <c r="C461" s="20"/>
      <c r="D461" s="20"/>
      <c r="E461" s="20"/>
      <c r="F461" s="21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</row>
    <row r="462" spans="1:18" x14ac:dyDescent="0.2">
      <c r="A462" s="20"/>
      <c r="B462" s="20" t="s">
        <v>24</v>
      </c>
      <c r="C462" s="20"/>
      <c r="D462" s="20"/>
      <c r="E462" s="20"/>
      <c r="F462" s="28">
        <f t="shared" ref="F462" si="67">SUM(H462:L462)</f>
        <v>1853000</v>
      </c>
      <c r="G462" s="20"/>
      <c r="H462" s="27">
        <v>149000</v>
      </c>
      <c r="I462" s="20"/>
      <c r="J462" s="27">
        <v>213000</v>
      </c>
      <c r="K462" s="20"/>
      <c r="L462" s="27">
        <v>1491000</v>
      </c>
      <c r="M462" s="20"/>
      <c r="N462" s="27">
        <v>1092000</v>
      </c>
      <c r="O462" s="20"/>
      <c r="P462" s="27">
        <v>761000</v>
      </c>
      <c r="Q462" s="20"/>
      <c r="R462" s="27">
        <v>0</v>
      </c>
    </row>
    <row r="463" spans="1:18" x14ac:dyDescent="0.2">
      <c r="A463" s="20"/>
      <c r="B463" s="20"/>
      <c r="C463" s="20"/>
      <c r="D463" s="20"/>
      <c r="E463" s="20"/>
      <c r="F463" s="21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</row>
    <row r="464" spans="1:18" x14ac:dyDescent="0.2">
      <c r="A464" s="20"/>
      <c r="B464" s="20" t="s">
        <v>28</v>
      </c>
      <c r="C464" s="20"/>
      <c r="D464" s="20"/>
      <c r="E464" s="20"/>
      <c r="F464" s="28">
        <f t="shared" ref="F464" si="68">SUM(H464:L464)</f>
        <v>384000</v>
      </c>
      <c r="G464" s="20"/>
      <c r="H464" s="27">
        <v>205000</v>
      </c>
      <c r="I464" s="20"/>
      <c r="J464" s="27">
        <v>7000</v>
      </c>
      <c r="K464" s="20"/>
      <c r="L464" s="27">
        <v>172000</v>
      </c>
      <c r="M464" s="20"/>
      <c r="N464" s="27">
        <v>136000</v>
      </c>
      <c r="O464" s="20"/>
      <c r="P464" s="27">
        <v>248000</v>
      </c>
      <c r="Q464" s="20"/>
      <c r="R464" s="27">
        <v>0</v>
      </c>
    </row>
    <row r="465" spans="1:18" x14ac:dyDescent="0.2">
      <c r="A465" s="20"/>
      <c r="B465" s="20"/>
      <c r="C465" s="20"/>
      <c r="D465" s="20"/>
      <c r="E465" s="20"/>
      <c r="F465" s="21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</row>
    <row r="466" spans="1:18" x14ac:dyDescent="0.2">
      <c r="A466" s="20"/>
      <c r="B466" s="20" t="s">
        <v>29</v>
      </c>
      <c r="C466" s="20"/>
      <c r="D466" s="20"/>
      <c r="E466" s="20"/>
      <c r="F466" s="28">
        <f t="shared" ref="F466" si="69">SUM(H466:L466)</f>
        <v>0</v>
      </c>
      <c r="G466" s="20"/>
      <c r="H466" s="27">
        <v>0</v>
      </c>
      <c r="I466" s="20"/>
      <c r="J466" s="27">
        <v>0</v>
      </c>
      <c r="K466" s="20"/>
      <c r="L466" s="27">
        <v>0</v>
      </c>
      <c r="M466" s="20"/>
      <c r="N466" s="27">
        <v>0</v>
      </c>
      <c r="O466" s="20"/>
      <c r="P466" s="27">
        <v>0</v>
      </c>
      <c r="Q466" s="20"/>
      <c r="R466" s="27">
        <v>0</v>
      </c>
    </row>
    <row r="467" spans="1:18" x14ac:dyDescent="0.2">
      <c r="A467" s="20"/>
      <c r="B467" s="20"/>
      <c r="C467" s="20"/>
      <c r="D467" s="20"/>
      <c r="E467" s="20"/>
      <c r="F467" s="21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</row>
    <row r="468" spans="1:18" x14ac:dyDescent="0.2">
      <c r="A468" s="20"/>
      <c r="B468" s="20"/>
      <c r="C468" s="20"/>
      <c r="D468" s="20"/>
      <c r="E468" s="20" t="s">
        <v>190</v>
      </c>
      <c r="F468" s="21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</row>
    <row r="469" spans="1:18" x14ac:dyDescent="0.2">
      <c r="A469" s="20"/>
      <c r="B469" s="20"/>
      <c r="C469" s="20"/>
      <c r="D469" s="20"/>
      <c r="E469" s="20" t="s">
        <v>191</v>
      </c>
      <c r="F469" s="28">
        <f>F460+F462+F464+F466</f>
        <v>14552000</v>
      </c>
      <c r="G469" s="28">
        <f t="shared" ref="G469:R469" si="70">G460+G462+G464+G466</f>
        <v>0</v>
      </c>
      <c r="H469" s="28">
        <f t="shared" si="70"/>
        <v>6383000</v>
      </c>
      <c r="I469" s="28">
        <f t="shared" si="70"/>
        <v>0</v>
      </c>
      <c r="J469" s="28">
        <f t="shared" si="70"/>
        <v>4204000</v>
      </c>
      <c r="K469" s="28">
        <f t="shared" si="70"/>
        <v>0</v>
      </c>
      <c r="L469" s="28">
        <f t="shared" si="70"/>
        <v>3965000</v>
      </c>
      <c r="M469" s="28">
        <f t="shared" si="70"/>
        <v>0</v>
      </c>
      <c r="N469" s="28">
        <f t="shared" si="70"/>
        <v>8864000</v>
      </c>
      <c r="O469" s="28">
        <f t="shared" si="70"/>
        <v>0</v>
      </c>
      <c r="P469" s="28">
        <f t="shared" si="70"/>
        <v>5688000</v>
      </c>
      <c r="Q469" s="28">
        <f t="shared" si="70"/>
        <v>0</v>
      </c>
      <c r="R469" s="28">
        <f t="shared" si="70"/>
        <v>0</v>
      </c>
    </row>
    <row r="470" spans="1:18" x14ac:dyDescent="0.2">
      <c r="A470" s="20"/>
      <c r="B470" s="20"/>
      <c r="C470" s="20"/>
      <c r="D470" s="20"/>
      <c r="E470" s="20"/>
      <c r="F470" s="21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</row>
    <row r="471" spans="1:18" x14ac:dyDescent="0.2">
      <c r="A471" s="22" t="s">
        <v>192</v>
      </c>
      <c r="B471" s="20"/>
      <c r="C471" s="20"/>
      <c r="D471" s="20"/>
      <c r="E471" s="20"/>
      <c r="F471" s="21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</row>
    <row r="472" spans="1:18" x14ac:dyDescent="0.2">
      <c r="A472" s="20"/>
      <c r="B472" s="20"/>
      <c r="C472" s="20"/>
      <c r="D472" s="20"/>
      <c r="E472" s="20"/>
      <c r="F472" s="21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</row>
    <row r="473" spans="1:18" x14ac:dyDescent="0.2">
      <c r="A473" s="20"/>
      <c r="B473" s="20" t="s">
        <v>13</v>
      </c>
      <c r="C473" s="20"/>
      <c r="D473" s="20"/>
      <c r="E473" s="20"/>
      <c r="F473" s="28">
        <f t="shared" ref="F473" si="71">SUM(H473:L473)</f>
        <v>46528000</v>
      </c>
      <c r="G473" s="20"/>
      <c r="H473" s="27">
        <v>5118000</v>
      </c>
      <c r="I473" s="20"/>
      <c r="J473" s="27">
        <v>1140000</v>
      </c>
      <c r="K473" s="20"/>
      <c r="L473" s="27">
        <v>40270000</v>
      </c>
      <c r="M473" s="20"/>
      <c r="N473" s="27">
        <v>7207000</v>
      </c>
      <c r="O473" s="20"/>
      <c r="P473" s="27">
        <v>39321000</v>
      </c>
      <c r="Q473" s="20"/>
      <c r="R473" s="27">
        <v>0</v>
      </c>
    </row>
    <row r="474" spans="1:18" x14ac:dyDescent="0.2">
      <c r="A474" s="20"/>
      <c r="B474" s="20"/>
      <c r="C474" s="20"/>
      <c r="D474" s="20"/>
      <c r="E474" s="20"/>
      <c r="F474" s="21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</row>
    <row r="475" spans="1:18" x14ac:dyDescent="0.2">
      <c r="A475" s="20"/>
      <c r="B475" s="20" t="s">
        <v>24</v>
      </c>
      <c r="C475" s="20"/>
      <c r="D475" s="20"/>
      <c r="E475" s="20"/>
      <c r="F475" s="28">
        <f t="shared" ref="F475" si="72">SUM(H475:L475)</f>
        <v>2449000</v>
      </c>
      <c r="G475" s="20"/>
      <c r="H475" s="27">
        <v>35000</v>
      </c>
      <c r="I475" s="20"/>
      <c r="J475" s="27">
        <v>68000</v>
      </c>
      <c r="K475" s="20"/>
      <c r="L475" s="27">
        <v>2346000</v>
      </c>
      <c r="M475" s="20"/>
      <c r="N475" s="27">
        <v>1574000</v>
      </c>
      <c r="O475" s="20"/>
      <c r="P475" s="27">
        <v>875000</v>
      </c>
      <c r="Q475" s="20"/>
      <c r="R475" s="27">
        <v>0</v>
      </c>
    </row>
    <row r="476" spans="1:18" x14ac:dyDescent="0.2">
      <c r="A476" s="20"/>
      <c r="B476" s="20"/>
      <c r="C476" s="20"/>
      <c r="D476" s="20"/>
      <c r="E476" s="20"/>
      <c r="F476" s="21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</row>
    <row r="477" spans="1:18" x14ac:dyDescent="0.2">
      <c r="A477" s="20"/>
      <c r="B477" s="20" t="s">
        <v>28</v>
      </c>
      <c r="C477" s="20"/>
      <c r="D477" s="20"/>
      <c r="E477" s="20"/>
      <c r="F477" s="28">
        <f t="shared" ref="F477" si="73">SUM(H477:L477)</f>
        <v>430000</v>
      </c>
      <c r="G477" s="20"/>
      <c r="H477" s="27">
        <v>0</v>
      </c>
      <c r="I477" s="20"/>
      <c r="J477" s="27">
        <v>398000</v>
      </c>
      <c r="K477" s="20"/>
      <c r="L477" s="27">
        <v>32000</v>
      </c>
      <c r="M477" s="20"/>
      <c r="N477" s="27">
        <v>288000</v>
      </c>
      <c r="O477" s="20"/>
      <c r="P477" s="27">
        <v>142000</v>
      </c>
      <c r="Q477" s="20"/>
      <c r="R477" s="27">
        <v>0</v>
      </c>
    </row>
    <row r="478" spans="1:18" x14ac:dyDescent="0.2">
      <c r="A478" s="20"/>
      <c r="B478" s="20"/>
      <c r="C478" s="20"/>
      <c r="D478" s="20"/>
      <c r="E478" s="20"/>
      <c r="F478" s="21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</row>
    <row r="479" spans="1:18" x14ac:dyDescent="0.2">
      <c r="A479" s="20"/>
      <c r="B479" s="20" t="s">
        <v>29</v>
      </c>
      <c r="C479" s="20"/>
      <c r="D479" s="20"/>
      <c r="E479" s="20"/>
      <c r="F479" s="28">
        <f t="shared" ref="F479" si="74">SUM(H479:L479)</f>
        <v>107000</v>
      </c>
      <c r="G479" s="20"/>
      <c r="H479" s="27">
        <v>0</v>
      </c>
      <c r="I479" s="20"/>
      <c r="J479" s="27">
        <v>93000</v>
      </c>
      <c r="K479" s="20"/>
      <c r="L479" s="27">
        <v>14000</v>
      </c>
      <c r="M479" s="20"/>
      <c r="N479" s="27">
        <v>39000</v>
      </c>
      <c r="O479" s="20"/>
      <c r="P479" s="27">
        <v>68000</v>
      </c>
      <c r="Q479" s="20"/>
      <c r="R479" s="27">
        <v>0</v>
      </c>
    </row>
    <row r="480" spans="1:18" x14ac:dyDescent="0.2">
      <c r="A480" s="20"/>
      <c r="B480" s="20"/>
      <c r="C480" s="20"/>
      <c r="D480" s="20"/>
      <c r="E480" s="20"/>
      <c r="F480" s="21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</row>
    <row r="481" spans="1:18" x14ac:dyDescent="0.2">
      <c r="A481" s="20"/>
      <c r="B481" s="20"/>
      <c r="C481" s="20"/>
      <c r="D481" s="20"/>
      <c r="E481" s="20" t="s">
        <v>193</v>
      </c>
      <c r="F481" s="28">
        <f>F473+F475+F477+F479</f>
        <v>49514000</v>
      </c>
      <c r="G481" s="28">
        <f t="shared" ref="G481:R481" si="75">G473+G475+G477+G479</f>
        <v>0</v>
      </c>
      <c r="H481" s="28">
        <f t="shared" si="75"/>
        <v>5153000</v>
      </c>
      <c r="I481" s="28">
        <f t="shared" si="75"/>
        <v>0</v>
      </c>
      <c r="J481" s="28">
        <f t="shared" si="75"/>
        <v>1699000</v>
      </c>
      <c r="K481" s="28">
        <f t="shared" si="75"/>
        <v>0</v>
      </c>
      <c r="L481" s="28">
        <f t="shared" si="75"/>
        <v>42662000</v>
      </c>
      <c r="M481" s="28">
        <f t="shared" si="75"/>
        <v>0</v>
      </c>
      <c r="N481" s="28">
        <f t="shared" si="75"/>
        <v>9108000</v>
      </c>
      <c r="O481" s="28">
        <f t="shared" si="75"/>
        <v>0</v>
      </c>
      <c r="P481" s="28">
        <f t="shared" si="75"/>
        <v>40406000</v>
      </c>
      <c r="Q481" s="28">
        <f t="shared" si="75"/>
        <v>0</v>
      </c>
      <c r="R481" s="28">
        <f t="shared" si="75"/>
        <v>0</v>
      </c>
    </row>
    <row r="482" spans="1:18" x14ac:dyDescent="0.2">
      <c r="A482" s="20"/>
      <c r="B482" s="20"/>
      <c r="C482" s="20"/>
      <c r="D482" s="20"/>
      <c r="E482" s="20"/>
      <c r="F482" s="21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</row>
    <row r="483" spans="1:18" x14ac:dyDescent="0.2">
      <c r="A483" s="22" t="s">
        <v>194</v>
      </c>
      <c r="B483" s="20"/>
      <c r="C483" s="20"/>
      <c r="D483" s="20"/>
      <c r="E483" s="20"/>
      <c r="F483" s="21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</row>
    <row r="484" spans="1:18" x14ac:dyDescent="0.2">
      <c r="A484" s="20"/>
      <c r="B484" s="20"/>
      <c r="C484" s="20"/>
      <c r="D484" s="20"/>
      <c r="E484" s="20"/>
      <c r="F484" s="21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</row>
    <row r="485" spans="1:18" x14ac:dyDescent="0.2">
      <c r="A485" s="20"/>
      <c r="B485" s="20" t="s">
        <v>13</v>
      </c>
      <c r="C485" s="20"/>
      <c r="D485" s="20"/>
      <c r="E485" s="20"/>
      <c r="F485" s="21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</row>
    <row r="486" spans="1:18" x14ac:dyDescent="0.2">
      <c r="A486" s="20"/>
      <c r="B486" s="20"/>
      <c r="C486" s="20" t="s">
        <v>195</v>
      </c>
      <c r="D486" s="20"/>
      <c r="E486" s="20"/>
      <c r="F486" s="31">
        <f t="shared" ref="F486:F495" si="76">SUM(H486:L486)</f>
        <v>923000</v>
      </c>
      <c r="G486" s="20"/>
      <c r="H486" s="25">
        <v>47000</v>
      </c>
      <c r="I486" s="20"/>
      <c r="J486" s="25">
        <v>4000</v>
      </c>
      <c r="K486" s="20"/>
      <c r="L486" s="25">
        <v>872000</v>
      </c>
      <c r="M486" s="20"/>
      <c r="N486" s="25">
        <v>176000</v>
      </c>
      <c r="O486" s="20"/>
      <c r="P486" s="25">
        <v>747000</v>
      </c>
      <c r="Q486" s="20"/>
      <c r="R486" s="25">
        <v>0</v>
      </c>
    </row>
    <row r="487" spans="1:18" x14ac:dyDescent="0.2">
      <c r="A487" s="20"/>
      <c r="B487" s="20"/>
      <c r="C487" s="20" t="s">
        <v>196</v>
      </c>
      <c r="D487" s="20"/>
      <c r="E487" s="20"/>
      <c r="F487" s="31">
        <f t="shared" si="76"/>
        <v>30000</v>
      </c>
      <c r="G487" s="20"/>
      <c r="H487" s="25">
        <v>0</v>
      </c>
      <c r="I487" s="20"/>
      <c r="J487" s="25">
        <v>0</v>
      </c>
      <c r="K487" s="20"/>
      <c r="L487" s="25">
        <v>30000</v>
      </c>
      <c r="M487" s="20"/>
      <c r="N487" s="25">
        <v>6000</v>
      </c>
      <c r="O487" s="20"/>
      <c r="P487" s="25">
        <v>24000</v>
      </c>
      <c r="Q487" s="20"/>
      <c r="R487" s="25">
        <v>0</v>
      </c>
    </row>
    <row r="488" spans="1:18" x14ac:dyDescent="0.2">
      <c r="A488" s="20"/>
      <c r="B488" s="20"/>
      <c r="C488" s="20" t="s">
        <v>197</v>
      </c>
      <c r="D488" s="20"/>
      <c r="E488" s="20"/>
      <c r="F488" s="31">
        <f t="shared" si="76"/>
        <v>0</v>
      </c>
      <c r="G488" s="20"/>
      <c r="H488" s="25">
        <v>0</v>
      </c>
      <c r="I488" s="20"/>
      <c r="J488" s="25">
        <v>0</v>
      </c>
      <c r="K488" s="20"/>
      <c r="L488" s="25">
        <v>0</v>
      </c>
      <c r="M488" s="20"/>
      <c r="N488" s="25">
        <v>0</v>
      </c>
      <c r="O488" s="20"/>
      <c r="P488" s="25">
        <v>0</v>
      </c>
      <c r="Q488" s="20"/>
      <c r="R488" s="25">
        <v>0</v>
      </c>
    </row>
    <row r="489" spans="1:18" x14ac:dyDescent="0.2">
      <c r="A489" s="20"/>
      <c r="B489" s="20"/>
      <c r="C489" s="20" t="s">
        <v>198</v>
      </c>
      <c r="D489" s="20"/>
      <c r="E489" s="20"/>
      <c r="F489" s="31">
        <f t="shared" si="76"/>
        <v>86000</v>
      </c>
      <c r="G489" s="20"/>
      <c r="H489" s="25">
        <v>1000</v>
      </c>
      <c r="I489" s="20"/>
      <c r="J489" s="25">
        <v>0</v>
      </c>
      <c r="K489" s="20"/>
      <c r="L489" s="25">
        <v>85000</v>
      </c>
      <c r="M489" s="20"/>
      <c r="N489" s="25">
        <v>2000</v>
      </c>
      <c r="O489" s="20"/>
      <c r="P489" s="25">
        <v>84000</v>
      </c>
      <c r="Q489" s="20"/>
      <c r="R489" s="25">
        <v>0</v>
      </c>
    </row>
    <row r="490" spans="1:18" x14ac:dyDescent="0.2">
      <c r="A490" s="20"/>
      <c r="B490" s="20"/>
      <c r="C490" s="20" t="s">
        <v>199</v>
      </c>
      <c r="D490" s="20"/>
      <c r="E490" s="20"/>
      <c r="F490" s="31">
        <f t="shared" si="76"/>
        <v>4000</v>
      </c>
      <c r="G490" s="20"/>
      <c r="H490" s="25">
        <v>1000</v>
      </c>
      <c r="I490" s="20"/>
      <c r="J490" s="25">
        <v>0</v>
      </c>
      <c r="K490" s="20"/>
      <c r="L490" s="25">
        <v>3000</v>
      </c>
      <c r="M490" s="20"/>
      <c r="N490" s="25">
        <v>0</v>
      </c>
      <c r="O490" s="20"/>
      <c r="P490" s="25">
        <v>4000</v>
      </c>
      <c r="Q490" s="20"/>
      <c r="R490" s="25">
        <v>0</v>
      </c>
    </row>
    <row r="491" spans="1:18" x14ac:dyDescent="0.2">
      <c r="A491" s="20"/>
      <c r="B491" s="20"/>
      <c r="C491" s="20" t="s">
        <v>200</v>
      </c>
      <c r="D491" s="20"/>
      <c r="E491" s="20"/>
      <c r="F491" s="31">
        <f t="shared" si="76"/>
        <v>0</v>
      </c>
      <c r="G491" s="20"/>
      <c r="H491" s="25">
        <v>0</v>
      </c>
      <c r="I491" s="20"/>
      <c r="J491" s="25">
        <v>0</v>
      </c>
      <c r="K491" s="20"/>
      <c r="L491" s="25">
        <v>0</v>
      </c>
      <c r="M491" s="20"/>
      <c r="N491" s="25">
        <v>0</v>
      </c>
      <c r="O491" s="20"/>
      <c r="P491" s="25">
        <v>0</v>
      </c>
      <c r="Q491" s="20"/>
      <c r="R491" s="25">
        <v>0</v>
      </c>
    </row>
    <row r="492" spans="1:18" x14ac:dyDescent="0.2">
      <c r="A492" s="20"/>
      <c r="B492" s="20"/>
      <c r="C492" s="20" t="s">
        <v>115</v>
      </c>
      <c r="D492" s="20"/>
      <c r="E492" s="20"/>
      <c r="F492" s="31">
        <f t="shared" si="76"/>
        <v>260000</v>
      </c>
      <c r="G492" s="20"/>
      <c r="H492" s="25">
        <v>0</v>
      </c>
      <c r="I492" s="20"/>
      <c r="J492" s="25">
        <v>223000</v>
      </c>
      <c r="K492" s="20"/>
      <c r="L492" s="25">
        <v>37000</v>
      </c>
      <c r="M492" s="20"/>
      <c r="N492" s="25">
        <v>175000</v>
      </c>
      <c r="O492" s="20"/>
      <c r="P492" s="25">
        <v>85000</v>
      </c>
      <c r="Q492" s="20"/>
      <c r="R492" s="25">
        <v>0</v>
      </c>
    </row>
    <row r="493" spans="1:18" x14ac:dyDescent="0.2">
      <c r="A493" s="20"/>
      <c r="B493" s="20"/>
      <c r="C493" s="20" t="s">
        <v>201</v>
      </c>
      <c r="D493" s="20"/>
      <c r="E493" s="20"/>
      <c r="F493" s="31">
        <f t="shared" si="76"/>
        <v>0</v>
      </c>
      <c r="G493" s="20"/>
      <c r="H493" s="25">
        <v>0</v>
      </c>
      <c r="I493" s="20"/>
      <c r="J493" s="25">
        <v>0</v>
      </c>
      <c r="K493" s="20"/>
      <c r="L493" s="25">
        <v>0</v>
      </c>
      <c r="M493" s="20"/>
      <c r="N493" s="25">
        <v>0</v>
      </c>
      <c r="O493" s="20"/>
      <c r="P493" s="25">
        <v>0</v>
      </c>
      <c r="Q493" s="20"/>
      <c r="R493" s="25">
        <v>0</v>
      </c>
    </row>
    <row r="494" spans="1:18" x14ac:dyDescent="0.2">
      <c r="A494" s="20"/>
      <c r="B494" s="20"/>
      <c r="C494" s="20" t="s">
        <v>202</v>
      </c>
      <c r="D494" s="20"/>
      <c r="E494" s="20"/>
      <c r="F494" s="31">
        <f t="shared" si="76"/>
        <v>46000</v>
      </c>
      <c r="G494" s="20"/>
      <c r="H494" s="25">
        <v>0</v>
      </c>
      <c r="I494" s="20"/>
      <c r="J494" s="25">
        <v>0</v>
      </c>
      <c r="K494" s="20"/>
      <c r="L494" s="25">
        <v>46000</v>
      </c>
      <c r="M494" s="20"/>
      <c r="N494" s="25">
        <v>4000</v>
      </c>
      <c r="O494" s="20"/>
      <c r="P494" s="25">
        <v>42000</v>
      </c>
      <c r="Q494" s="20"/>
      <c r="R494" s="25">
        <v>0</v>
      </c>
    </row>
    <row r="495" spans="1:18" x14ac:dyDescent="0.2">
      <c r="A495" s="20"/>
      <c r="B495" s="20"/>
      <c r="C495" s="20" t="s">
        <v>203</v>
      </c>
      <c r="D495" s="20"/>
      <c r="E495" s="20"/>
      <c r="F495" s="28">
        <f t="shared" si="76"/>
        <v>277000</v>
      </c>
      <c r="G495" s="20"/>
      <c r="H495" s="27">
        <v>0</v>
      </c>
      <c r="I495" s="20"/>
      <c r="J495" s="27">
        <v>0</v>
      </c>
      <c r="K495" s="20"/>
      <c r="L495" s="27">
        <v>277000</v>
      </c>
      <c r="M495" s="20"/>
      <c r="N495" s="27">
        <v>77000</v>
      </c>
      <c r="O495" s="20"/>
      <c r="P495" s="27">
        <v>200000</v>
      </c>
      <c r="Q495" s="20"/>
      <c r="R495" s="27">
        <v>0</v>
      </c>
    </row>
    <row r="496" spans="1:18" x14ac:dyDescent="0.2">
      <c r="A496" s="20"/>
      <c r="B496" s="20"/>
      <c r="C496" s="20"/>
      <c r="D496" s="20"/>
      <c r="E496" s="20"/>
      <c r="F496" s="21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</row>
    <row r="497" spans="1:18" x14ac:dyDescent="0.2">
      <c r="A497" s="20"/>
      <c r="B497" s="20"/>
      <c r="C497" s="20"/>
      <c r="D497" s="20"/>
      <c r="E497" s="20" t="s">
        <v>3</v>
      </c>
      <c r="F497" s="28">
        <f>SUM(F486:F496)</f>
        <v>1626000</v>
      </c>
      <c r="G497" s="27">
        <f t="shared" ref="G497:R497" si="77">SUM(G486:G496)</f>
        <v>0</v>
      </c>
      <c r="H497" s="27">
        <f t="shared" si="77"/>
        <v>49000</v>
      </c>
      <c r="I497" s="27">
        <f t="shared" si="77"/>
        <v>0</v>
      </c>
      <c r="J497" s="27">
        <f t="shared" si="77"/>
        <v>227000</v>
      </c>
      <c r="K497" s="27">
        <f t="shared" si="77"/>
        <v>0</v>
      </c>
      <c r="L497" s="27">
        <f t="shared" si="77"/>
        <v>1350000</v>
      </c>
      <c r="M497" s="27">
        <f t="shared" si="77"/>
        <v>0</v>
      </c>
      <c r="N497" s="27">
        <f t="shared" si="77"/>
        <v>440000</v>
      </c>
      <c r="O497" s="27">
        <f t="shared" si="77"/>
        <v>0</v>
      </c>
      <c r="P497" s="27">
        <f t="shared" si="77"/>
        <v>1186000</v>
      </c>
      <c r="Q497" s="27">
        <f t="shared" si="77"/>
        <v>0</v>
      </c>
      <c r="R497" s="27">
        <f t="shared" si="77"/>
        <v>0</v>
      </c>
    </row>
    <row r="498" spans="1:18" x14ac:dyDescent="0.2">
      <c r="A498" s="20"/>
      <c r="B498" s="20"/>
      <c r="C498" s="20"/>
      <c r="D498" s="20"/>
      <c r="E498" s="20"/>
      <c r="F498" s="21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</row>
    <row r="499" spans="1:18" x14ac:dyDescent="0.2">
      <c r="A499" s="20"/>
      <c r="B499" s="20" t="s">
        <v>24</v>
      </c>
      <c r="C499" s="20"/>
      <c r="D499" s="20"/>
      <c r="E499" s="20"/>
      <c r="F499" s="21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</row>
    <row r="500" spans="1:18" x14ac:dyDescent="0.2">
      <c r="A500" s="20"/>
      <c r="B500" s="20"/>
      <c r="C500" s="20" t="s">
        <v>195</v>
      </c>
      <c r="D500" s="20"/>
      <c r="E500" s="20"/>
      <c r="F500" s="31">
        <f t="shared" ref="F500:F509" si="78">SUM(H500:L500)</f>
        <v>147000</v>
      </c>
      <c r="G500" s="20"/>
      <c r="H500" s="25">
        <v>79000</v>
      </c>
      <c r="I500" s="20"/>
      <c r="J500" s="25">
        <v>43000</v>
      </c>
      <c r="K500" s="20"/>
      <c r="L500" s="25">
        <v>25000</v>
      </c>
      <c r="M500" s="20"/>
      <c r="N500" s="25">
        <v>78000</v>
      </c>
      <c r="O500" s="20"/>
      <c r="P500" s="25">
        <v>69000</v>
      </c>
      <c r="Q500" s="20"/>
      <c r="R500" s="25">
        <v>0</v>
      </c>
    </row>
    <row r="501" spans="1:18" x14ac:dyDescent="0.2">
      <c r="A501" s="20"/>
      <c r="B501" s="20"/>
      <c r="C501" s="20" t="s">
        <v>196</v>
      </c>
      <c r="D501" s="20"/>
      <c r="E501" s="20"/>
      <c r="F501" s="31">
        <f t="shared" si="78"/>
        <v>525000</v>
      </c>
      <c r="G501" s="20"/>
      <c r="H501" s="25">
        <v>35000</v>
      </c>
      <c r="I501" s="20"/>
      <c r="J501" s="25">
        <v>5000</v>
      </c>
      <c r="K501" s="20"/>
      <c r="L501" s="25">
        <v>485000</v>
      </c>
      <c r="M501" s="20"/>
      <c r="N501" s="25">
        <v>278000</v>
      </c>
      <c r="O501" s="20"/>
      <c r="P501" s="25">
        <v>247000</v>
      </c>
      <c r="Q501" s="20"/>
      <c r="R501" s="25">
        <v>0</v>
      </c>
    </row>
    <row r="502" spans="1:18" x14ac:dyDescent="0.2">
      <c r="A502" s="20"/>
      <c r="B502" s="20"/>
      <c r="C502" s="20" t="s">
        <v>197</v>
      </c>
      <c r="D502" s="20"/>
      <c r="E502" s="20"/>
      <c r="F502" s="31">
        <f t="shared" si="78"/>
        <v>187000</v>
      </c>
      <c r="G502" s="20"/>
      <c r="H502" s="25">
        <v>82000</v>
      </c>
      <c r="I502" s="20"/>
      <c r="J502" s="25">
        <v>7000</v>
      </c>
      <c r="K502" s="20"/>
      <c r="L502" s="25">
        <v>98000</v>
      </c>
      <c r="M502" s="20"/>
      <c r="N502" s="25">
        <v>109000</v>
      </c>
      <c r="O502" s="20"/>
      <c r="P502" s="25">
        <v>88000</v>
      </c>
      <c r="Q502" s="20"/>
      <c r="R502" s="25">
        <v>10000</v>
      </c>
    </row>
    <row r="503" spans="1:18" x14ac:dyDescent="0.2">
      <c r="A503" s="20"/>
      <c r="B503" s="20"/>
      <c r="C503" s="20" t="s">
        <v>198</v>
      </c>
      <c r="D503" s="20"/>
      <c r="E503" s="20"/>
      <c r="F503" s="31">
        <f t="shared" si="78"/>
        <v>3037000</v>
      </c>
      <c r="G503" s="20"/>
      <c r="H503" s="25">
        <v>246000</v>
      </c>
      <c r="I503" s="20"/>
      <c r="J503" s="25">
        <v>215000</v>
      </c>
      <c r="K503" s="20"/>
      <c r="L503" s="25">
        <v>2576000</v>
      </c>
      <c r="M503" s="20"/>
      <c r="N503" s="25">
        <v>1545000</v>
      </c>
      <c r="O503" s="20"/>
      <c r="P503" s="25">
        <v>1548000</v>
      </c>
      <c r="Q503" s="20"/>
      <c r="R503" s="25">
        <v>56000</v>
      </c>
    </row>
    <row r="504" spans="1:18" x14ac:dyDescent="0.2">
      <c r="A504" s="20"/>
      <c r="B504" s="20"/>
      <c r="C504" s="20" t="s">
        <v>199</v>
      </c>
      <c r="D504" s="20"/>
      <c r="E504" s="20"/>
      <c r="F504" s="31">
        <f t="shared" si="78"/>
        <v>639000</v>
      </c>
      <c r="G504" s="20"/>
      <c r="H504" s="25">
        <v>162000</v>
      </c>
      <c r="I504" s="20"/>
      <c r="J504" s="25">
        <v>47000</v>
      </c>
      <c r="K504" s="20"/>
      <c r="L504" s="25">
        <v>430000</v>
      </c>
      <c r="M504" s="20"/>
      <c r="N504" s="25">
        <v>338000</v>
      </c>
      <c r="O504" s="20"/>
      <c r="P504" s="25">
        <v>301000</v>
      </c>
      <c r="Q504" s="20"/>
      <c r="R504" s="25">
        <v>0</v>
      </c>
    </row>
    <row r="505" spans="1:18" x14ac:dyDescent="0.2">
      <c r="A505" s="20"/>
      <c r="B505" s="20"/>
      <c r="C505" s="20" t="s">
        <v>200</v>
      </c>
      <c r="D505" s="20"/>
      <c r="E505" s="20"/>
      <c r="F505" s="31">
        <f t="shared" si="78"/>
        <v>2821000</v>
      </c>
      <c r="G505" s="20"/>
      <c r="H505" s="25">
        <v>187000</v>
      </c>
      <c r="I505" s="20"/>
      <c r="J505" s="25">
        <v>705000</v>
      </c>
      <c r="K505" s="20"/>
      <c r="L505" s="25">
        <v>1929000</v>
      </c>
      <c r="M505" s="20"/>
      <c r="N505" s="25">
        <v>1461000</v>
      </c>
      <c r="O505" s="20"/>
      <c r="P505" s="25">
        <v>1360000</v>
      </c>
      <c r="Q505" s="20"/>
      <c r="R505" s="25">
        <v>0</v>
      </c>
    </row>
    <row r="506" spans="1:18" x14ac:dyDescent="0.2">
      <c r="A506" s="20"/>
      <c r="B506" s="20"/>
      <c r="C506" s="20" t="s">
        <v>115</v>
      </c>
      <c r="D506" s="20"/>
      <c r="E506" s="20"/>
      <c r="F506" s="31">
        <f t="shared" si="78"/>
        <v>139000</v>
      </c>
      <c r="G506" s="20"/>
      <c r="H506" s="25">
        <v>30000</v>
      </c>
      <c r="I506" s="20"/>
      <c r="J506" s="25">
        <v>33000</v>
      </c>
      <c r="K506" s="20"/>
      <c r="L506" s="25">
        <v>76000</v>
      </c>
      <c r="M506" s="20"/>
      <c r="N506" s="25">
        <v>75000</v>
      </c>
      <c r="O506" s="20"/>
      <c r="P506" s="25">
        <v>64000</v>
      </c>
      <c r="Q506" s="20"/>
      <c r="R506" s="25">
        <v>0</v>
      </c>
    </row>
    <row r="507" spans="1:18" x14ac:dyDescent="0.2">
      <c r="A507" s="20"/>
      <c r="B507" s="20"/>
      <c r="C507" s="20" t="s">
        <v>201</v>
      </c>
      <c r="D507" s="20"/>
      <c r="E507" s="20"/>
      <c r="F507" s="31">
        <f t="shared" si="78"/>
        <v>610000</v>
      </c>
      <c r="G507" s="20"/>
      <c r="H507" s="25">
        <v>71000</v>
      </c>
      <c r="I507" s="20"/>
      <c r="J507" s="25">
        <v>17000</v>
      </c>
      <c r="K507" s="20"/>
      <c r="L507" s="25">
        <v>522000</v>
      </c>
      <c r="M507" s="20"/>
      <c r="N507" s="25">
        <v>306000</v>
      </c>
      <c r="O507" s="20"/>
      <c r="P507" s="25">
        <v>305000</v>
      </c>
      <c r="Q507" s="20"/>
      <c r="R507" s="25">
        <v>1000</v>
      </c>
    </row>
    <row r="508" spans="1:18" x14ac:dyDescent="0.2">
      <c r="A508" s="20"/>
      <c r="B508" s="20"/>
      <c r="C508" s="20" t="s">
        <v>202</v>
      </c>
      <c r="D508" s="20"/>
      <c r="E508" s="20"/>
      <c r="F508" s="31">
        <f t="shared" si="78"/>
        <v>572000</v>
      </c>
      <c r="G508" s="20"/>
      <c r="H508" s="25">
        <v>138000</v>
      </c>
      <c r="I508" s="20"/>
      <c r="J508" s="25">
        <v>1000</v>
      </c>
      <c r="K508" s="20"/>
      <c r="L508" s="25">
        <v>433000</v>
      </c>
      <c r="M508" s="20"/>
      <c r="N508" s="25">
        <v>314000</v>
      </c>
      <c r="O508" s="20"/>
      <c r="P508" s="25">
        <v>258000</v>
      </c>
      <c r="Q508" s="20"/>
      <c r="R508" s="25">
        <v>0</v>
      </c>
    </row>
    <row r="509" spans="1:18" x14ac:dyDescent="0.2">
      <c r="A509" s="20"/>
      <c r="B509" s="20"/>
      <c r="C509" s="20" t="s">
        <v>203</v>
      </c>
      <c r="D509" s="20"/>
      <c r="E509" s="20"/>
      <c r="F509" s="28">
        <f t="shared" si="78"/>
        <v>513000</v>
      </c>
      <c r="G509" s="20"/>
      <c r="H509" s="27">
        <v>90000</v>
      </c>
      <c r="I509" s="20"/>
      <c r="J509" s="27">
        <v>20000</v>
      </c>
      <c r="K509" s="20"/>
      <c r="L509" s="27">
        <v>403000</v>
      </c>
      <c r="M509" s="20"/>
      <c r="N509" s="27">
        <v>133000</v>
      </c>
      <c r="O509" s="20"/>
      <c r="P509" s="27">
        <v>380000</v>
      </c>
      <c r="Q509" s="20"/>
      <c r="R509" s="27">
        <v>0</v>
      </c>
    </row>
    <row r="510" spans="1:18" x14ac:dyDescent="0.2">
      <c r="A510" s="20"/>
      <c r="B510" s="20"/>
      <c r="C510" s="20"/>
      <c r="D510" s="20"/>
      <c r="E510" s="20"/>
      <c r="F510" s="21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</row>
    <row r="511" spans="1:18" x14ac:dyDescent="0.2">
      <c r="A511" s="20"/>
      <c r="B511" s="20"/>
      <c r="C511" s="20"/>
      <c r="D511" s="20"/>
      <c r="E511" s="20" t="s">
        <v>3</v>
      </c>
      <c r="F511" s="28">
        <f>SUM(F500:F510)</f>
        <v>9190000</v>
      </c>
      <c r="G511" s="27">
        <f t="shared" ref="G511:R511" si="79">SUM(G500:G510)</f>
        <v>0</v>
      </c>
      <c r="H511" s="27">
        <f t="shared" si="79"/>
        <v>1120000</v>
      </c>
      <c r="I511" s="27">
        <f t="shared" si="79"/>
        <v>0</v>
      </c>
      <c r="J511" s="27">
        <f t="shared" si="79"/>
        <v>1093000</v>
      </c>
      <c r="K511" s="27">
        <f t="shared" si="79"/>
        <v>0</v>
      </c>
      <c r="L511" s="27">
        <f t="shared" si="79"/>
        <v>6977000</v>
      </c>
      <c r="M511" s="27">
        <f t="shared" si="79"/>
        <v>0</v>
      </c>
      <c r="N511" s="27">
        <f t="shared" si="79"/>
        <v>4637000</v>
      </c>
      <c r="O511" s="27">
        <f t="shared" si="79"/>
        <v>0</v>
      </c>
      <c r="P511" s="27">
        <f t="shared" si="79"/>
        <v>4620000</v>
      </c>
      <c r="Q511" s="27">
        <f t="shared" si="79"/>
        <v>0</v>
      </c>
      <c r="R511" s="27">
        <f t="shared" si="79"/>
        <v>67000</v>
      </c>
    </row>
    <row r="512" spans="1:18" x14ac:dyDescent="0.2">
      <c r="A512" s="20"/>
      <c r="B512" s="20"/>
      <c r="C512" s="20"/>
      <c r="D512" s="20"/>
      <c r="E512" s="20"/>
      <c r="F512" s="21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</row>
    <row r="513" spans="1:18" x14ac:dyDescent="0.2">
      <c r="A513" s="20"/>
      <c r="B513" s="20" t="s">
        <v>28</v>
      </c>
      <c r="C513" s="20"/>
      <c r="D513" s="20"/>
      <c r="E513" s="20"/>
      <c r="F513" s="21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</row>
    <row r="514" spans="1:18" x14ac:dyDescent="0.2">
      <c r="A514" s="20"/>
      <c r="B514" s="20"/>
      <c r="C514" s="20" t="s">
        <v>198</v>
      </c>
      <c r="D514" s="20"/>
      <c r="E514" s="20"/>
      <c r="F514" s="31">
        <f t="shared" ref="F514:F516" si="80">SUM(H514:L514)</f>
        <v>170000</v>
      </c>
      <c r="G514" s="20"/>
      <c r="H514" s="25">
        <v>0</v>
      </c>
      <c r="I514" s="20"/>
      <c r="J514" s="25">
        <v>0</v>
      </c>
      <c r="K514" s="20"/>
      <c r="L514" s="25">
        <v>170000</v>
      </c>
      <c r="M514" s="20"/>
      <c r="N514" s="25">
        <v>41000</v>
      </c>
      <c r="O514" s="20"/>
      <c r="P514" s="25">
        <v>129000</v>
      </c>
      <c r="Q514" s="20"/>
      <c r="R514" s="25">
        <v>0</v>
      </c>
    </row>
    <row r="515" spans="1:18" x14ac:dyDescent="0.2">
      <c r="A515" s="20"/>
      <c r="B515" s="20"/>
      <c r="C515" s="20" t="s">
        <v>115</v>
      </c>
      <c r="D515" s="20"/>
      <c r="E515" s="20"/>
      <c r="F515" s="31">
        <f t="shared" si="80"/>
        <v>313000</v>
      </c>
      <c r="G515" s="20"/>
      <c r="H515" s="25">
        <v>0</v>
      </c>
      <c r="I515" s="20"/>
      <c r="J515" s="25">
        <v>2000</v>
      </c>
      <c r="K515" s="20"/>
      <c r="L515" s="25">
        <v>311000</v>
      </c>
      <c r="M515" s="20"/>
      <c r="N515" s="25">
        <v>177000</v>
      </c>
      <c r="O515" s="20"/>
      <c r="P515" s="25">
        <v>136000</v>
      </c>
      <c r="Q515" s="20"/>
      <c r="R515" s="25">
        <v>0</v>
      </c>
    </row>
    <row r="516" spans="1:18" x14ac:dyDescent="0.2">
      <c r="A516" s="20"/>
      <c r="B516" s="20"/>
      <c r="C516" s="20" t="s">
        <v>203</v>
      </c>
      <c r="D516" s="20"/>
      <c r="E516" s="20"/>
      <c r="F516" s="28">
        <f t="shared" si="80"/>
        <v>37000</v>
      </c>
      <c r="G516" s="20"/>
      <c r="H516" s="27">
        <v>35000</v>
      </c>
      <c r="I516" s="20"/>
      <c r="J516" s="27">
        <v>0</v>
      </c>
      <c r="K516" s="20"/>
      <c r="L516" s="27">
        <v>2000</v>
      </c>
      <c r="M516" s="20"/>
      <c r="N516" s="27">
        <v>26000</v>
      </c>
      <c r="O516" s="20"/>
      <c r="P516" s="27">
        <v>11000</v>
      </c>
      <c r="Q516" s="20"/>
      <c r="R516" s="27">
        <v>0</v>
      </c>
    </row>
    <row r="517" spans="1:18" x14ac:dyDescent="0.2">
      <c r="A517" s="20"/>
      <c r="B517" s="20"/>
      <c r="C517" s="20"/>
      <c r="D517" s="20"/>
      <c r="E517" s="20"/>
      <c r="F517" s="21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</row>
    <row r="518" spans="1:18" x14ac:dyDescent="0.2">
      <c r="A518" s="20"/>
      <c r="B518" s="20"/>
      <c r="C518" s="20"/>
      <c r="D518" s="20"/>
      <c r="E518" s="20" t="s">
        <v>3</v>
      </c>
      <c r="F518" s="28">
        <f>SUM(F514:F517)</f>
        <v>520000</v>
      </c>
      <c r="G518" s="27">
        <f t="shared" ref="G518:R518" si="81">SUM(G514:G517)</f>
        <v>0</v>
      </c>
      <c r="H518" s="27">
        <f t="shared" si="81"/>
        <v>35000</v>
      </c>
      <c r="I518" s="27">
        <f t="shared" si="81"/>
        <v>0</v>
      </c>
      <c r="J518" s="27">
        <f t="shared" si="81"/>
        <v>2000</v>
      </c>
      <c r="K518" s="27">
        <f t="shared" si="81"/>
        <v>0</v>
      </c>
      <c r="L518" s="27">
        <f t="shared" si="81"/>
        <v>483000</v>
      </c>
      <c r="M518" s="27">
        <f t="shared" si="81"/>
        <v>0</v>
      </c>
      <c r="N518" s="27">
        <f t="shared" si="81"/>
        <v>244000</v>
      </c>
      <c r="O518" s="27">
        <f t="shared" si="81"/>
        <v>0</v>
      </c>
      <c r="P518" s="27">
        <f t="shared" si="81"/>
        <v>276000</v>
      </c>
      <c r="Q518" s="27">
        <f t="shared" si="81"/>
        <v>0</v>
      </c>
      <c r="R518" s="27">
        <f t="shared" si="81"/>
        <v>0</v>
      </c>
    </row>
    <row r="519" spans="1:18" x14ac:dyDescent="0.2">
      <c r="A519" s="20"/>
      <c r="B519" s="20"/>
      <c r="C519" s="20"/>
      <c r="D519" s="20"/>
      <c r="E519" s="20"/>
      <c r="F519" s="21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</row>
    <row r="520" spans="1:18" x14ac:dyDescent="0.2">
      <c r="A520" s="20"/>
      <c r="B520" s="20" t="s">
        <v>29</v>
      </c>
      <c r="C520" s="20"/>
      <c r="D520" s="20"/>
      <c r="E520" s="20"/>
      <c r="F520" s="31">
        <f t="shared" ref="F520" si="82">SUM(H520:L520)</f>
        <v>0</v>
      </c>
      <c r="G520" s="20"/>
      <c r="H520" s="20">
        <v>0</v>
      </c>
      <c r="I520" s="20"/>
      <c r="J520" s="20">
        <v>0</v>
      </c>
      <c r="K520" s="20"/>
      <c r="L520" s="20">
        <v>0</v>
      </c>
      <c r="M520" s="20"/>
      <c r="N520" s="20">
        <v>0</v>
      </c>
      <c r="O520" s="20"/>
      <c r="P520" s="20">
        <v>0</v>
      </c>
      <c r="Q520" s="20"/>
      <c r="R520" s="20">
        <v>0</v>
      </c>
    </row>
    <row r="521" spans="1:18" x14ac:dyDescent="0.2">
      <c r="A521" s="20"/>
      <c r="B521" s="20"/>
      <c r="C521" s="20"/>
      <c r="D521" s="20"/>
      <c r="E521" s="20"/>
      <c r="F521" s="21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</row>
    <row r="522" spans="1:18" x14ac:dyDescent="0.2">
      <c r="A522" s="20"/>
      <c r="B522" s="20"/>
      <c r="C522" s="20"/>
      <c r="D522" s="20"/>
      <c r="E522" s="20" t="s">
        <v>204</v>
      </c>
      <c r="F522" s="28">
        <f>F497+F511+F518+F520</f>
        <v>11336000</v>
      </c>
      <c r="G522" s="27">
        <f t="shared" ref="G522:R522" si="83">G497+G511+G518+G520</f>
        <v>0</v>
      </c>
      <c r="H522" s="27">
        <f t="shared" si="83"/>
        <v>1204000</v>
      </c>
      <c r="I522" s="27">
        <f t="shared" si="83"/>
        <v>0</v>
      </c>
      <c r="J522" s="27">
        <f t="shared" si="83"/>
        <v>1322000</v>
      </c>
      <c r="K522" s="27">
        <f t="shared" si="83"/>
        <v>0</v>
      </c>
      <c r="L522" s="27">
        <f t="shared" si="83"/>
        <v>8810000</v>
      </c>
      <c r="M522" s="27">
        <f t="shared" si="83"/>
        <v>0</v>
      </c>
      <c r="N522" s="27">
        <f t="shared" si="83"/>
        <v>5321000</v>
      </c>
      <c r="O522" s="27">
        <f t="shared" si="83"/>
        <v>0</v>
      </c>
      <c r="P522" s="27">
        <f t="shared" si="83"/>
        <v>6082000</v>
      </c>
      <c r="Q522" s="27">
        <f t="shared" si="83"/>
        <v>0</v>
      </c>
      <c r="R522" s="27">
        <f t="shared" si="83"/>
        <v>67000</v>
      </c>
    </row>
    <row r="523" spans="1:18" x14ac:dyDescent="0.2">
      <c r="A523" s="20"/>
      <c r="B523" s="20"/>
      <c r="C523" s="20"/>
      <c r="D523" s="20"/>
      <c r="E523" s="20"/>
      <c r="F523" s="21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</row>
    <row r="524" spans="1:18" x14ac:dyDescent="0.2">
      <c r="A524" s="22" t="s">
        <v>205</v>
      </c>
      <c r="B524" s="20"/>
      <c r="C524" s="20"/>
      <c r="D524" s="20"/>
      <c r="E524" s="20"/>
      <c r="F524" s="21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</row>
    <row r="525" spans="1:18" x14ac:dyDescent="0.2">
      <c r="A525" s="20"/>
      <c r="B525" s="20"/>
      <c r="C525" s="20"/>
      <c r="D525" s="20"/>
      <c r="E525" s="20"/>
      <c r="F525" s="21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</row>
    <row r="526" spans="1:18" x14ac:dyDescent="0.2">
      <c r="A526" s="20"/>
      <c r="B526" s="20" t="s">
        <v>13</v>
      </c>
      <c r="C526" s="20"/>
      <c r="D526" s="20"/>
      <c r="E526" s="20"/>
      <c r="F526" s="28">
        <f t="shared" ref="F526" si="84">SUM(H526:L526)</f>
        <v>6672000</v>
      </c>
      <c r="G526" s="20"/>
      <c r="H526" s="27">
        <v>3834000</v>
      </c>
      <c r="I526" s="20"/>
      <c r="J526" s="27">
        <v>2525000</v>
      </c>
      <c r="K526" s="20"/>
      <c r="L526" s="27">
        <v>313000</v>
      </c>
      <c r="M526" s="20"/>
      <c r="N526" s="27">
        <v>4054000</v>
      </c>
      <c r="O526" s="20"/>
      <c r="P526" s="27">
        <v>2618000</v>
      </c>
      <c r="Q526" s="20"/>
      <c r="R526" s="27">
        <v>0</v>
      </c>
    </row>
    <row r="527" spans="1:18" x14ac:dyDescent="0.2">
      <c r="A527" s="20"/>
      <c r="B527" s="20"/>
      <c r="C527" s="20"/>
      <c r="D527" s="20"/>
      <c r="E527" s="20"/>
      <c r="F527" s="21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</row>
    <row r="528" spans="1:18" x14ac:dyDescent="0.2">
      <c r="A528" s="20"/>
      <c r="B528" s="20" t="s">
        <v>24</v>
      </c>
      <c r="C528" s="20"/>
      <c r="D528" s="20"/>
      <c r="E528" s="20"/>
      <c r="F528" s="28">
        <f t="shared" ref="F528" si="85">SUM(H528:L528)</f>
        <v>107000</v>
      </c>
      <c r="G528" s="20"/>
      <c r="H528" s="27">
        <v>-3000</v>
      </c>
      <c r="I528" s="20"/>
      <c r="J528" s="27">
        <v>0</v>
      </c>
      <c r="K528" s="20"/>
      <c r="L528" s="27">
        <v>110000</v>
      </c>
      <c r="M528" s="20"/>
      <c r="N528" s="27">
        <v>75000</v>
      </c>
      <c r="O528" s="20"/>
      <c r="P528" s="27">
        <v>32000</v>
      </c>
      <c r="Q528" s="20"/>
      <c r="R528" s="27">
        <v>0</v>
      </c>
    </row>
    <row r="529" spans="1:18" x14ac:dyDescent="0.2">
      <c r="A529" s="20"/>
      <c r="B529" s="20"/>
      <c r="C529" s="20"/>
      <c r="D529" s="20"/>
      <c r="E529" s="20"/>
      <c r="F529" s="21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</row>
    <row r="530" spans="1:18" x14ac:dyDescent="0.2">
      <c r="A530" s="20"/>
      <c r="B530" s="20" t="s">
        <v>28</v>
      </c>
      <c r="C530" s="20"/>
      <c r="D530" s="20"/>
      <c r="E530" s="20"/>
      <c r="F530" s="28">
        <f t="shared" ref="F530" si="86">SUM(H530:L530)</f>
        <v>266000</v>
      </c>
      <c r="G530" s="20"/>
      <c r="H530" s="27">
        <v>0</v>
      </c>
      <c r="I530" s="20"/>
      <c r="J530" s="27">
        <v>1000</v>
      </c>
      <c r="K530" s="20"/>
      <c r="L530" s="27">
        <v>265000</v>
      </c>
      <c r="M530" s="20"/>
      <c r="N530" s="27">
        <v>80000</v>
      </c>
      <c r="O530" s="20"/>
      <c r="P530" s="27">
        <v>186000</v>
      </c>
      <c r="Q530" s="20"/>
      <c r="R530" s="27">
        <v>0</v>
      </c>
    </row>
    <row r="531" spans="1:18" x14ac:dyDescent="0.2">
      <c r="A531" s="20"/>
      <c r="B531" s="20"/>
      <c r="C531" s="20"/>
      <c r="D531" s="20"/>
      <c r="E531" s="20"/>
      <c r="F531" s="21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</row>
    <row r="532" spans="1:18" x14ac:dyDescent="0.2">
      <c r="A532" s="20"/>
      <c r="B532" s="20"/>
      <c r="C532" s="20"/>
      <c r="D532" s="20"/>
      <c r="E532" s="20" t="s">
        <v>206</v>
      </c>
      <c r="F532" s="28">
        <f>F526+F528+F530</f>
        <v>7045000</v>
      </c>
      <c r="G532" s="27">
        <f t="shared" ref="G532:R532" si="87">G526+G528+G530</f>
        <v>0</v>
      </c>
      <c r="H532" s="27">
        <f t="shared" si="87"/>
        <v>3831000</v>
      </c>
      <c r="I532" s="27">
        <f t="shared" si="87"/>
        <v>0</v>
      </c>
      <c r="J532" s="27">
        <f t="shared" si="87"/>
        <v>2526000</v>
      </c>
      <c r="K532" s="27">
        <f t="shared" si="87"/>
        <v>0</v>
      </c>
      <c r="L532" s="27">
        <f t="shared" si="87"/>
        <v>688000</v>
      </c>
      <c r="M532" s="27">
        <f t="shared" si="87"/>
        <v>0</v>
      </c>
      <c r="N532" s="27">
        <f t="shared" si="87"/>
        <v>4209000</v>
      </c>
      <c r="O532" s="27">
        <f t="shared" si="87"/>
        <v>0</v>
      </c>
      <c r="P532" s="27">
        <f t="shared" si="87"/>
        <v>2836000</v>
      </c>
      <c r="Q532" s="27">
        <f t="shared" si="87"/>
        <v>0</v>
      </c>
      <c r="R532" s="27">
        <f t="shared" si="87"/>
        <v>0</v>
      </c>
    </row>
    <row r="533" spans="1:18" x14ac:dyDescent="0.2">
      <c r="A533" s="20"/>
      <c r="B533" s="20"/>
      <c r="C533" s="20"/>
      <c r="D533" s="20"/>
      <c r="E533" s="20"/>
      <c r="F533" s="21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</row>
    <row r="534" spans="1:18" x14ac:dyDescent="0.2">
      <c r="A534" s="20" t="s">
        <v>207</v>
      </c>
      <c r="B534" s="20"/>
      <c r="C534" s="20"/>
      <c r="D534" s="20"/>
      <c r="E534" s="20"/>
      <c r="F534" s="21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</row>
    <row r="535" spans="1:18" x14ac:dyDescent="0.2">
      <c r="A535" s="20"/>
      <c r="B535" s="20"/>
      <c r="C535" s="20"/>
      <c r="D535" s="20"/>
      <c r="E535" s="20"/>
      <c r="F535" s="21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</row>
    <row r="536" spans="1:18" x14ac:dyDescent="0.2">
      <c r="A536" s="20"/>
      <c r="B536" s="20" t="s">
        <v>13</v>
      </c>
      <c r="C536" s="20"/>
      <c r="D536" s="20"/>
      <c r="E536" s="20"/>
      <c r="F536" s="28">
        <f t="shared" ref="F536" si="88">SUM(H536:L536)</f>
        <v>18271000</v>
      </c>
      <c r="G536" s="20"/>
      <c r="H536" s="27">
        <v>296000</v>
      </c>
      <c r="I536" s="20"/>
      <c r="J536" s="27">
        <v>17875000</v>
      </c>
      <c r="K536" s="20"/>
      <c r="L536" s="27">
        <v>100000</v>
      </c>
      <c r="M536" s="20"/>
      <c r="N536" s="27">
        <v>12056000</v>
      </c>
      <c r="O536" s="20"/>
      <c r="P536" s="27">
        <v>6215000</v>
      </c>
      <c r="Q536" s="20"/>
      <c r="R536" s="27">
        <v>0</v>
      </c>
    </row>
    <row r="537" spans="1:18" x14ac:dyDescent="0.2">
      <c r="A537" s="20"/>
      <c r="B537" s="20"/>
      <c r="C537" s="20"/>
      <c r="D537" s="20"/>
      <c r="E537" s="20"/>
      <c r="F537" s="21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</row>
    <row r="538" spans="1:18" x14ac:dyDescent="0.2">
      <c r="A538" s="20" t="s">
        <v>208</v>
      </c>
      <c r="B538" s="20"/>
      <c r="C538" s="20"/>
      <c r="D538" s="20"/>
      <c r="E538" s="20"/>
      <c r="F538" s="21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</row>
    <row r="539" spans="1:18" x14ac:dyDescent="0.2">
      <c r="A539" s="20"/>
      <c r="B539" s="20"/>
      <c r="C539" s="20"/>
      <c r="D539" s="20"/>
      <c r="E539" s="20"/>
      <c r="F539" s="21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</row>
    <row r="540" spans="1:18" x14ac:dyDescent="0.2">
      <c r="A540" s="20"/>
      <c r="B540" s="20" t="s">
        <v>13</v>
      </c>
      <c r="C540" s="20"/>
      <c r="D540" s="20"/>
      <c r="E540" s="20"/>
      <c r="F540" s="28">
        <f t="shared" ref="F540" si="89">SUM(H540:L540)</f>
        <v>35273000</v>
      </c>
      <c r="G540" s="20"/>
      <c r="H540" s="27">
        <v>49000</v>
      </c>
      <c r="I540" s="20"/>
      <c r="J540" s="27">
        <v>35212000</v>
      </c>
      <c r="K540" s="20"/>
      <c r="L540" s="27">
        <v>12000</v>
      </c>
      <c r="M540" s="20"/>
      <c r="N540" s="27">
        <v>17719000</v>
      </c>
      <c r="O540" s="20"/>
      <c r="P540" s="27">
        <v>17554000</v>
      </c>
      <c r="Q540" s="20"/>
      <c r="R540" s="27">
        <v>0</v>
      </c>
    </row>
    <row r="541" spans="1:18" x14ac:dyDescent="0.2">
      <c r="A541" s="20"/>
      <c r="B541" s="20"/>
      <c r="C541" s="20"/>
      <c r="D541" s="20"/>
      <c r="E541" s="20"/>
      <c r="F541" s="21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</row>
    <row r="542" spans="1:18" x14ac:dyDescent="0.2">
      <c r="A542" s="22" t="s">
        <v>209</v>
      </c>
      <c r="B542" s="20"/>
      <c r="C542" s="20"/>
      <c r="D542" s="20"/>
      <c r="E542" s="20"/>
      <c r="F542" s="21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</row>
    <row r="543" spans="1:18" x14ac:dyDescent="0.2">
      <c r="A543" s="20"/>
      <c r="B543" s="20"/>
      <c r="C543" s="20"/>
      <c r="D543" s="20"/>
      <c r="E543" s="20"/>
      <c r="F543" s="21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</row>
    <row r="544" spans="1:18" x14ac:dyDescent="0.2">
      <c r="A544" s="20"/>
      <c r="B544" s="20" t="s">
        <v>13</v>
      </c>
      <c r="C544" s="20"/>
      <c r="D544" s="20"/>
      <c r="E544" s="20"/>
      <c r="F544" s="21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</row>
    <row r="545" spans="1:18" x14ac:dyDescent="0.2">
      <c r="A545" s="20"/>
      <c r="B545" s="20"/>
      <c r="C545" s="20" t="s">
        <v>210</v>
      </c>
      <c r="D545" s="20"/>
      <c r="E545" s="20"/>
      <c r="F545" s="31">
        <f t="shared" ref="F545:F581" si="90">SUM(H545:L545)</f>
        <v>4000</v>
      </c>
      <c r="G545" s="20"/>
      <c r="H545" s="25">
        <v>-1000</v>
      </c>
      <c r="I545" s="20"/>
      <c r="J545" s="25">
        <v>0</v>
      </c>
      <c r="K545" s="20"/>
      <c r="L545" s="25">
        <v>5000</v>
      </c>
      <c r="M545" s="20"/>
      <c r="N545" s="25">
        <v>1000</v>
      </c>
      <c r="O545" s="20"/>
      <c r="P545" s="25">
        <v>3000</v>
      </c>
      <c r="Q545" s="20"/>
      <c r="R545" s="25">
        <v>0</v>
      </c>
    </row>
    <row r="546" spans="1:18" x14ac:dyDescent="0.2">
      <c r="A546" s="20"/>
      <c r="B546" s="20"/>
      <c r="C546" s="20" t="s">
        <v>211</v>
      </c>
      <c r="D546" s="20"/>
      <c r="E546" s="20"/>
      <c r="F546" s="31">
        <f t="shared" si="90"/>
        <v>44000</v>
      </c>
      <c r="G546" s="20"/>
      <c r="H546" s="25">
        <v>40000</v>
      </c>
      <c r="I546" s="20"/>
      <c r="J546" s="25">
        <v>2000</v>
      </c>
      <c r="K546" s="20"/>
      <c r="L546" s="25">
        <v>2000</v>
      </c>
      <c r="M546" s="20"/>
      <c r="N546" s="25">
        <v>26000</v>
      </c>
      <c r="O546" s="20"/>
      <c r="P546" s="25">
        <v>18000</v>
      </c>
      <c r="Q546" s="20"/>
      <c r="R546" s="25">
        <v>0</v>
      </c>
    </row>
    <row r="547" spans="1:18" x14ac:dyDescent="0.2">
      <c r="A547" s="20"/>
      <c r="B547" s="20"/>
      <c r="C547" s="20" t="s">
        <v>212</v>
      </c>
      <c r="D547" s="20"/>
      <c r="E547" s="20"/>
      <c r="F547" s="31">
        <f t="shared" si="90"/>
        <v>188000</v>
      </c>
      <c r="G547" s="20"/>
      <c r="H547" s="25">
        <v>117000</v>
      </c>
      <c r="I547" s="20"/>
      <c r="J547" s="25">
        <v>1000</v>
      </c>
      <c r="K547" s="20"/>
      <c r="L547" s="25">
        <v>70000</v>
      </c>
      <c r="M547" s="20"/>
      <c r="N547" s="25">
        <v>110000</v>
      </c>
      <c r="O547" s="20"/>
      <c r="P547" s="25">
        <v>78000</v>
      </c>
      <c r="Q547" s="20"/>
      <c r="R547" s="25">
        <v>0</v>
      </c>
    </row>
    <row r="548" spans="1:18" x14ac:dyDescent="0.2">
      <c r="A548" s="20"/>
      <c r="B548" s="20"/>
      <c r="C548" s="20" t="s">
        <v>213</v>
      </c>
      <c r="D548" s="20"/>
      <c r="E548" s="20"/>
      <c r="F548" s="31">
        <f t="shared" si="90"/>
        <v>0</v>
      </c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</row>
    <row r="549" spans="1:18" x14ac:dyDescent="0.2">
      <c r="A549" s="20"/>
      <c r="B549" s="20"/>
      <c r="C549" s="20"/>
      <c r="D549" s="20"/>
      <c r="E549" s="20" t="s">
        <v>214</v>
      </c>
      <c r="F549" s="31">
        <f t="shared" si="90"/>
        <v>334000</v>
      </c>
      <c r="G549" s="20"/>
      <c r="H549" s="25">
        <v>78000</v>
      </c>
      <c r="I549" s="20"/>
      <c r="J549" s="25">
        <v>9000</v>
      </c>
      <c r="K549" s="20"/>
      <c r="L549" s="25">
        <v>247000</v>
      </c>
      <c r="M549" s="20"/>
      <c r="N549" s="25">
        <v>165000</v>
      </c>
      <c r="O549" s="20"/>
      <c r="P549" s="25">
        <v>169000</v>
      </c>
      <c r="Q549" s="20"/>
      <c r="R549" s="25">
        <v>0</v>
      </c>
    </row>
    <row r="550" spans="1:18" x14ac:dyDescent="0.2">
      <c r="A550" s="20"/>
      <c r="B550" s="20"/>
      <c r="C550" s="20" t="s">
        <v>215</v>
      </c>
      <c r="D550" s="20"/>
      <c r="E550" s="20"/>
      <c r="F550" s="31">
        <f t="shared" si="90"/>
        <v>0</v>
      </c>
      <c r="G550" s="20"/>
      <c r="H550" s="25">
        <v>0</v>
      </c>
      <c r="I550" s="20"/>
      <c r="J550" s="25">
        <v>0</v>
      </c>
      <c r="K550" s="20"/>
      <c r="L550" s="25">
        <v>0</v>
      </c>
      <c r="M550" s="20"/>
      <c r="N550" s="25">
        <v>0</v>
      </c>
      <c r="O550" s="20"/>
      <c r="P550" s="25">
        <v>0</v>
      </c>
      <c r="Q550" s="20"/>
      <c r="R550" s="25">
        <v>0</v>
      </c>
    </row>
    <row r="551" spans="1:18" x14ac:dyDescent="0.2">
      <c r="A551" s="20"/>
      <c r="B551" s="20"/>
      <c r="C551" s="20" t="s">
        <v>216</v>
      </c>
      <c r="D551" s="20"/>
      <c r="E551" s="20"/>
      <c r="F551" s="31">
        <f t="shared" si="90"/>
        <v>740000</v>
      </c>
      <c r="G551" s="20"/>
      <c r="H551" s="25">
        <v>280000</v>
      </c>
      <c r="I551" s="20"/>
      <c r="J551" s="25">
        <v>443000</v>
      </c>
      <c r="K551" s="20"/>
      <c r="L551" s="25">
        <v>17000</v>
      </c>
      <c r="M551" s="20"/>
      <c r="N551" s="25">
        <v>475000</v>
      </c>
      <c r="O551" s="20"/>
      <c r="P551" s="25">
        <v>265000</v>
      </c>
      <c r="Q551" s="20"/>
      <c r="R551" s="25">
        <v>0</v>
      </c>
    </row>
    <row r="552" spans="1:18" x14ac:dyDescent="0.2">
      <c r="A552" s="20"/>
      <c r="B552" s="20"/>
      <c r="C552" s="20" t="s">
        <v>217</v>
      </c>
      <c r="D552" s="20"/>
      <c r="E552" s="20"/>
      <c r="F552" s="31">
        <f t="shared" si="90"/>
        <v>0</v>
      </c>
      <c r="G552" s="20"/>
      <c r="H552" s="25">
        <v>0</v>
      </c>
      <c r="I552" s="20"/>
      <c r="J552" s="25">
        <v>0</v>
      </c>
      <c r="K552" s="20"/>
      <c r="L552" s="25">
        <v>0</v>
      </c>
      <c r="M552" s="20"/>
      <c r="N552" s="25">
        <v>0</v>
      </c>
      <c r="O552" s="20"/>
      <c r="P552" s="25">
        <v>0</v>
      </c>
      <c r="Q552" s="20"/>
      <c r="R552" s="25">
        <v>0</v>
      </c>
    </row>
    <row r="553" spans="1:18" x14ac:dyDescent="0.2">
      <c r="A553" s="20"/>
      <c r="B553" s="20"/>
      <c r="C553" s="20" t="s">
        <v>218</v>
      </c>
      <c r="D553" s="20"/>
      <c r="E553" s="20"/>
      <c r="F553" s="31">
        <f t="shared" si="90"/>
        <v>1133000</v>
      </c>
      <c r="G553" s="20"/>
      <c r="H553" s="25">
        <v>1109000</v>
      </c>
      <c r="I553" s="20"/>
      <c r="J553" s="25">
        <v>9000</v>
      </c>
      <c r="K553" s="20"/>
      <c r="L553" s="25">
        <v>15000</v>
      </c>
      <c r="M553" s="20"/>
      <c r="N553" s="25">
        <v>767000</v>
      </c>
      <c r="O553" s="20"/>
      <c r="P553" s="25">
        <v>366000</v>
      </c>
      <c r="Q553" s="20"/>
      <c r="R553" s="25">
        <v>0</v>
      </c>
    </row>
    <row r="554" spans="1:18" x14ac:dyDescent="0.2">
      <c r="A554" s="20"/>
      <c r="B554" s="20"/>
      <c r="C554" s="20" t="s">
        <v>219</v>
      </c>
      <c r="D554" s="20"/>
      <c r="E554" s="20"/>
      <c r="F554" s="31">
        <f t="shared" si="90"/>
        <v>1000</v>
      </c>
      <c r="G554" s="20"/>
      <c r="H554" s="25">
        <v>0</v>
      </c>
      <c r="I554" s="20"/>
      <c r="J554" s="25">
        <v>1000</v>
      </c>
      <c r="K554" s="20"/>
      <c r="L554" s="25">
        <v>0</v>
      </c>
      <c r="M554" s="20"/>
      <c r="N554" s="25">
        <v>0</v>
      </c>
      <c r="O554" s="20"/>
      <c r="P554" s="25">
        <v>1000</v>
      </c>
      <c r="Q554" s="20"/>
      <c r="R554" s="25">
        <v>0</v>
      </c>
    </row>
    <row r="555" spans="1:18" x14ac:dyDescent="0.2">
      <c r="A555" s="20"/>
      <c r="B555" s="20"/>
      <c r="C555" s="20" t="s">
        <v>220</v>
      </c>
      <c r="D555" s="20"/>
      <c r="E555" s="20"/>
      <c r="F555" s="31">
        <f t="shared" si="90"/>
        <v>2561000</v>
      </c>
      <c r="G555" s="20"/>
      <c r="H555" s="25">
        <v>1799000</v>
      </c>
      <c r="I555" s="20"/>
      <c r="J555" s="25">
        <v>546000</v>
      </c>
      <c r="K555" s="20"/>
      <c r="L555" s="25">
        <v>216000</v>
      </c>
      <c r="M555" s="20"/>
      <c r="N555" s="25">
        <v>1716000</v>
      </c>
      <c r="O555" s="20"/>
      <c r="P555" s="25">
        <v>845000</v>
      </c>
      <c r="Q555" s="20"/>
      <c r="R555" s="25">
        <v>0</v>
      </c>
    </row>
    <row r="556" spans="1:18" x14ac:dyDescent="0.2">
      <c r="A556" s="20"/>
      <c r="B556" s="20"/>
      <c r="C556" s="20" t="s">
        <v>221</v>
      </c>
      <c r="D556" s="20"/>
      <c r="E556" s="20"/>
      <c r="F556" s="31">
        <f t="shared" si="90"/>
        <v>-8000</v>
      </c>
      <c r="G556" s="20"/>
      <c r="H556" s="25">
        <v>3000</v>
      </c>
      <c r="I556" s="20"/>
      <c r="J556" s="25">
        <v>-11000</v>
      </c>
      <c r="K556" s="20"/>
      <c r="L556" s="25">
        <v>0</v>
      </c>
      <c r="M556" s="20"/>
      <c r="N556" s="25">
        <v>0</v>
      </c>
      <c r="O556" s="20"/>
      <c r="P556" s="25">
        <v>-8000</v>
      </c>
      <c r="Q556" s="20"/>
      <c r="R556" s="25">
        <v>0</v>
      </c>
    </row>
    <row r="557" spans="1:18" x14ac:dyDescent="0.2">
      <c r="A557" s="20"/>
      <c r="B557" s="20"/>
      <c r="C557" s="20" t="s">
        <v>222</v>
      </c>
      <c r="D557" s="20"/>
      <c r="E557" s="20"/>
      <c r="F557" s="31">
        <f t="shared" si="90"/>
        <v>0</v>
      </c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>
        <v>0</v>
      </c>
    </row>
    <row r="558" spans="1:18" x14ac:dyDescent="0.2">
      <c r="A558" s="20"/>
      <c r="B558" s="20"/>
      <c r="C558" s="20"/>
      <c r="D558" s="20"/>
      <c r="E558" s="20" t="s">
        <v>223</v>
      </c>
      <c r="F558" s="31">
        <f t="shared" si="90"/>
        <v>3000</v>
      </c>
      <c r="G558" s="20"/>
      <c r="H558" s="25">
        <v>0</v>
      </c>
      <c r="I558" s="20"/>
      <c r="J558" s="25">
        <v>3000</v>
      </c>
      <c r="K558" s="20"/>
      <c r="L558" s="25">
        <v>0</v>
      </c>
      <c r="M558" s="20"/>
      <c r="N558" s="25">
        <v>0</v>
      </c>
      <c r="O558" s="20"/>
      <c r="P558" s="25">
        <v>3000</v>
      </c>
      <c r="Q558" s="20"/>
      <c r="R558" s="25">
        <v>0</v>
      </c>
    </row>
    <row r="559" spans="1:18" x14ac:dyDescent="0.2">
      <c r="A559" s="20"/>
      <c r="B559" s="20"/>
      <c r="C559" s="20" t="s">
        <v>224</v>
      </c>
      <c r="D559" s="20"/>
      <c r="E559" s="20"/>
      <c r="F559" s="31">
        <f t="shared" si="90"/>
        <v>7000</v>
      </c>
      <c r="G559" s="20"/>
      <c r="H559" s="25">
        <v>-5000</v>
      </c>
      <c r="I559" s="20"/>
      <c r="J559" s="25">
        <v>0</v>
      </c>
      <c r="K559" s="20"/>
      <c r="L559" s="25">
        <v>12000</v>
      </c>
      <c r="M559" s="20"/>
      <c r="N559" s="25">
        <v>0</v>
      </c>
      <c r="O559" s="20"/>
      <c r="P559" s="25">
        <v>7000</v>
      </c>
      <c r="Q559" s="20"/>
      <c r="R559" s="25">
        <v>0</v>
      </c>
    </row>
    <row r="560" spans="1:18" x14ac:dyDescent="0.2">
      <c r="A560" s="20"/>
      <c r="B560" s="20"/>
      <c r="C560" s="20" t="s">
        <v>225</v>
      </c>
      <c r="D560" s="20"/>
      <c r="E560" s="20"/>
      <c r="F560" s="31">
        <f t="shared" si="90"/>
        <v>0</v>
      </c>
      <c r="G560" s="20"/>
      <c r="H560" s="25">
        <v>0</v>
      </c>
      <c r="I560" s="20"/>
      <c r="J560" s="25">
        <v>0</v>
      </c>
      <c r="K560" s="20"/>
      <c r="L560" s="25">
        <v>0</v>
      </c>
      <c r="M560" s="20"/>
      <c r="N560" s="25">
        <v>0</v>
      </c>
      <c r="O560" s="20"/>
      <c r="P560" s="25">
        <v>0</v>
      </c>
      <c r="Q560" s="20"/>
      <c r="R560" s="25">
        <v>0</v>
      </c>
    </row>
    <row r="561" spans="1:18" x14ac:dyDescent="0.2">
      <c r="A561" s="20"/>
      <c r="B561" s="20"/>
      <c r="C561" s="20" t="s">
        <v>226</v>
      </c>
      <c r="D561" s="20"/>
      <c r="E561" s="20"/>
      <c r="F561" s="31">
        <f t="shared" si="90"/>
        <v>14000</v>
      </c>
      <c r="G561" s="20"/>
      <c r="H561" s="25">
        <v>14000</v>
      </c>
      <c r="I561" s="20"/>
      <c r="J561" s="25">
        <v>0</v>
      </c>
      <c r="K561" s="20"/>
      <c r="L561" s="25">
        <v>0</v>
      </c>
      <c r="M561" s="20"/>
      <c r="N561" s="25">
        <v>10000</v>
      </c>
      <c r="O561" s="20"/>
      <c r="P561" s="25">
        <v>4000</v>
      </c>
      <c r="Q561" s="20"/>
      <c r="R561" s="25">
        <v>0</v>
      </c>
    </row>
    <row r="562" spans="1:18" x14ac:dyDescent="0.2">
      <c r="A562" s="20"/>
      <c r="B562" s="20"/>
      <c r="C562" s="20" t="s">
        <v>227</v>
      </c>
      <c r="D562" s="20"/>
      <c r="E562" s="20"/>
      <c r="F562" s="31">
        <f t="shared" si="90"/>
        <v>0</v>
      </c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</row>
    <row r="563" spans="1:18" x14ac:dyDescent="0.2">
      <c r="A563" s="20"/>
      <c r="B563" s="20"/>
      <c r="C563" s="20"/>
      <c r="D563" s="20"/>
      <c r="E563" s="20" t="s">
        <v>51</v>
      </c>
      <c r="F563" s="31">
        <f t="shared" si="90"/>
        <v>90000</v>
      </c>
      <c r="G563" s="20"/>
      <c r="H563" s="20">
        <v>0</v>
      </c>
      <c r="I563" s="20"/>
      <c r="J563" s="20">
        <v>0</v>
      </c>
      <c r="K563" s="20"/>
      <c r="L563" s="20">
        <v>90000</v>
      </c>
      <c r="M563" s="20"/>
      <c r="N563" s="20">
        <v>0</v>
      </c>
      <c r="O563" s="20"/>
      <c r="P563" s="20">
        <v>90000</v>
      </c>
      <c r="Q563" s="20"/>
      <c r="R563" s="20">
        <v>0</v>
      </c>
    </row>
    <row r="564" spans="1:18" x14ac:dyDescent="0.2">
      <c r="A564" s="20"/>
      <c r="B564" s="20"/>
      <c r="C564" s="20" t="s">
        <v>228</v>
      </c>
      <c r="D564" s="20"/>
      <c r="E564" s="20"/>
      <c r="F564" s="31">
        <f t="shared" si="90"/>
        <v>0</v>
      </c>
      <c r="G564" s="20"/>
      <c r="H564" s="20">
        <v>0</v>
      </c>
      <c r="I564" s="20"/>
      <c r="J564" s="20">
        <v>0</v>
      </c>
      <c r="K564" s="20"/>
      <c r="L564" s="20">
        <v>0</v>
      </c>
      <c r="M564" s="20"/>
      <c r="N564" s="20">
        <v>0</v>
      </c>
      <c r="O564" s="20"/>
      <c r="P564" s="20">
        <v>0</v>
      </c>
      <c r="Q564" s="20"/>
      <c r="R564" s="20">
        <v>0</v>
      </c>
    </row>
    <row r="565" spans="1:18" x14ac:dyDescent="0.2">
      <c r="A565" s="20"/>
      <c r="B565" s="20"/>
      <c r="C565" s="20" t="s">
        <v>229</v>
      </c>
      <c r="D565" s="20"/>
      <c r="E565" s="20"/>
      <c r="F565" s="31">
        <f t="shared" si="90"/>
        <v>0</v>
      </c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>
        <v>0</v>
      </c>
    </row>
    <row r="566" spans="1:18" x14ac:dyDescent="0.2">
      <c r="A566" s="20"/>
      <c r="B566" s="20"/>
      <c r="C566" s="20"/>
      <c r="D566" s="20"/>
      <c r="E566" s="20" t="s">
        <v>230</v>
      </c>
      <c r="F566" s="31">
        <f t="shared" si="90"/>
        <v>316000</v>
      </c>
      <c r="G566" s="20"/>
      <c r="H566" s="25">
        <v>0</v>
      </c>
      <c r="I566" s="20"/>
      <c r="J566" s="25">
        <v>0</v>
      </c>
      <c r="K566" s="20"/>
      <c r="L566" s="25">
        <v>316000</v>
      </c>
      <c r="M566" s="20"/>
      <c r="N566" s="25">
        <v>194000</v>
      </c>
      <c r="O566" s="20"/>
      <c r="P566" s="25">
        <v>122000</v>
      </c>
      <c r="Q566" s="20"/>
      <c r="R566" s="25">
        <v>0</v>
      </c>
    </row>
    <row r="567" spans="1:18" x14ac:dyDescent="0.2">
      <c r="A567" s="20"/>
      <c r="B567" s="20"/>
      <c r="C567" s="20" t="s">
        <v>231</v>
      </c>
      <c r="D567" s="20"/>
      <c r="E567" s="20"/>
      <c r="F567" s="31">
        <f t="shared" si="90"/>
        <v>0</v>
      </c>
      <c r="G567" s="20"/>
      <c r="H567" s="25">
        <v>0</v>
      </c>
      <c r="I567" s="20"/>
      <c r="J567" s="25">
        <v>0</v>
      </c>
      <c r="K567" s="20"/>
      <c r="L567" s="25">
        <v>0</v>
      </c>
      <c r="M567" s="20"/>
      <c r="N567" s="25">
        <v>0</v>
      </c>
      <c r="O567" s="20"/>
      <c r="P567" s="25">
        <v>0</v>
      </c>
      <c r="Q567" s="20"/>
      <c r="R567" s="25">
        <v>0</v>
      </c>
    </row>
    <row r="568" spans="1:18" x14ac:dyDescent="0.2">
      <c r="A568" s="20"/>
      <c r="B568" s="20"/>
      <c r="C568" s="20" t="s">
        <v>232</v>
      </c>
      <c r="D568" s="20"/>
      <c r="E568" s="20"/>
      <c r="F568" s="31">
        <f t="shared" si="90"/>
        <v>0</v>
      </c>
      <c r="G568" s="20"/>
      <c r="H568" s="25">
        <v>0</v>
      </c>
      <c r="I568" s="20"/>
      <c r="J568" s="25">
        <v>0</v>
      </c>
      <c r="K568" s="20"/>
      <c r="L568" s="25">
        <v>0</v>
      </c>
      <c r="M568" s="20"/>
      <c r="N568" s="25">
        <v>0</v>
      </c>
      <c r="O568" s="20"/>
      <c r="P568" s="25">
        <v>0</v>
      </c>
      <c r="Q568" s="20"/>
      <c r="R568" s="25">
        <v>0</v>
      </c>
    </row>
    <row r="569" spans="1:18" x14ac:dyDescent="0.2">
      <c r="A569" s="20"/>
      <c r="B569" s="20"/>
      <c r="C569" s="20" t="s">
        <v>233</v>
      </c>
      <c r="D569" s="20"/>
      <c r="E569" s="20"/>
      <c r="F569" s="31">
        <f t="shared" si="90"/>
        <v>15000</v>
      </c>
      <c r="G569" s="20"/>
      <c r="H569" s="25">
        <v>0</v>
      </c>
      <c r="I569" s="20"/>
      <c r="J569" s="25">
        <v>4000</v>
      </c>
      <c r="K569" s="20"/>
      <c r="L569" s="25">
        <v>11000</v>
      </c>
      <c r="M569" s="20"/>
      <c r="N569" s="25">
        <v>0</v>
      </c>
      <c r="O569" s="20"/>
      <c r="P569" s="25">
        <v>15000</v>
      </c>
      <c r="Q569" s="20"/>
      <c r="R569" s="25">
        <v>0</v>
      </c>
    </row>
    <row r="570" spans="1:18" x14ac:dyDescent="0.2">
      <c r="A570" s="20"/>
      <c r="B570" s="20"/>
      <c r="C570" s="20" t="s">
        <v>234</v>
      </c>
      <c r="D570" s="20"/>
      <c r="E570" s="20"/>
      <c r="F570" s="31">
        <f t="shared" si="90"/>
        <v>-15725000</v>
      </c>
      <c r="G570" s="20"/>
      <c r="H570" s="25">
        <v>39837000</v>
      </c>
      <c r="I570" s="20"/>
      <c r="J570" s="25">
        <v>-64890000</v>
      </c>
      <c r="K570" s="20"/>
      <c r="L570" s="25">
        <v>9328000</v>
      </c>
      <c r="M570" s="20"/>
      <c r="N570" s="25">
        <v>1486000</v>
      </c>
      <c r="O570" s="20"/>
      <c r="P570" s="25">
        <v>-17173000</v>
      </c>
      <c r="Q570" s="20"/>
      <c r="R570" s="25">
        <v>38000</v>
      </c>
    </row>
    <row r="571" spans="1:18" x14ac:dyDescent="0.2">
      <c r="A571" s="20"/>
      <c r="B571" s="20"/>
      <c r="C571" s="20" t="s">
        <v>235</v>
      </c>
      <c r="D571" s="20"/>
      <c r="E571" s="20"/>
      <c r="F571" s="31">
        <f t="shared" si="90"/>
        <v>21000</v>
      </c>
      <c r="G571" s="20"/>
      <c r="H571" s="25">
        <v>0</v>
      </c>
      <c r="I571" s="20"/>
      <c r="J571" s="25">
        <v>1000</v>
      </c>
      <c r="K571" s="20"/>
      <c r="L571" s="25">
        <v>20000</v>
      </c>
      <c r="M571" s="20"/>
      <c r="N571" s="25">
        <v>13000</v>
      </c>
      <c r="O571" s="20"/>
      <c r="P571" s="25">
        <v>8000</v>
      </c>
      <c r="Q571" s="20"/>
      <c r="R571" s="25">
        <v>0</v>
      </c>
    </row>
    <row r="572" spans="1:18" x14ac:dyDescent="0.2">
      <c r="A572" s="20"/>
      <c r="B572" s="20"/>
      <c r="C572" s="20" t="s">
        <v>236</v>
      </c>
      <c r="D572" s="20"/>
      <c r="E572" s="20"/>
      <c r="F572" s="31">
        <f t="shared" si="90"/>
        <v>0</v>
      </c>
      <c r="G572" s="20"/>
      <c r="H572" s="25">
        <v>0</v>
      </c>
      <c r="I572" s="20"/>
      <c r="J572" s="25">
        <v>0</v>
      </c>
      <c r="K572" s="20"/>
      <c r="L572" s="25">
        <v>0</v>
      </c>
      <c r="M572" s="20"/>
      <c r="N572" s="25">
        <v>0</v>
      </c>
      <c r="O572" s="20"/>
      <c r="P572" s="25">
        <v>0</v>
      </c>
      <c r="Q572" s="20"/>
      <c r="R572" s="25">
        <v>0</v>
      </c>
    </row>
    <row r="573" spans="1:18" x14ac:dyDescent="0.2">
      <c r="A573" s="20"/>
      <c r="B573" s="20"/>
      <c r="C573" s="20" t="s">
        <v>237</v>
      </c>
      <c r="D573" s="20"/>
      <c r="E573" s="20"/>
      <c r="F573" s="31">
        <f t="shared" si="90"/>
        <v>0</v>
      </c>
      <c r="G573" s="20"/>
      <c r="H573" s="25">
        <v>0</v>
      </c>
      <c r="I573" s="20"/>
      <c r="J573" s="25">
        <v>0</v>
      </c>
      <c r="K573" s="20"/>
      <c r="L573" s="25">
        <v>0</v>
      </c>
      <c r="M573" s="20"/>
      <c r="N573" s="25">
        <v>0</v>
      </c>
      <c r="O573" s="20"/>
      <c r="P573" s="25">
        <v>0</v>
      </c>
      <c r="Q573" s="20"/>
      <c r="R573" s="25">
        <v>0</v>
      </c>
    </row>
    <row r="574" spans="1:18" x14ac:dyDescent="0.2">
      <c r="A574" s="20"/>
      <c r="B574" s="20"/>
      <c r="C574" s="20" t="s">
        <v>238</v>
      </c>
      <c r="D574" s="20"/>
      <c r="E574" s="20"/>
      <c r="F574" s="31">
        <f t="shared" si="90"/>
        <v>0</v>
      </c>
      <c r="G574" s="20"/>
      <c r="H574" s="25">
        <v>0</v>
      </c>
      <c r="I574" s="20"/>
      <c r="J574" s="25">
        <v>0</v>
      </c>
      <c r="K574" s="20"/>
      <c r="L574" s="25">
        <v>0</v>
      </c>
      <c r="M574" s="20"/>
      <c r="N574" s="25">
        <v>0</v>
      </c>
      <c r="O574" s="20"/>
      <c r="P574" s="25">
        <v>0</v>
      </c>
      <c r="Q574" s="20"/>
      <c r="R574" s="25">
        <v>0</v>
      </c>
    </row>
    <row r="575" spans="1:18" x14ac:dyDescent="0.2">
      <c r="A575" s="20"/>
      <c r="B575" s="20"/>
      <c r="C575" s="20" t="s">
        <v>239</v>
      </c>
      <c r="D575" s="20"/>
      <c r="E575" s="20"/>
      <c r="F575" s="31">
        <f t="shared" si="90"/>
        <v>1000</v>
      </c>
      <c r="G575" s="20"/>
      <c r="H575" s="25">
        <v>1000</v>
      </c>
      <c r="I575" s="20"/>
      <c r="J575" s="25">
        <v>0</v>
      </c>
      <c r="K575" s="20"/>
      <c r="L575" s="25">
        <v>0</v>
      </c>
      <c r="M575" s="20"/>
      <c r="N575" s="25">
        <v>0</v>
      </c>
      <c r="O575" s="20"/>
      <c r="P575" s="25">
        <v>1000</v>
      </c>
      <c r="Q575" s="20"/>
      <c r="R575" s="25">
        <v>0</v>
      </c>
    </row>
    <row r="576" spans="1:18" x14ac:dyDescent="0.2">
      <c r="A576" s="20"/>
      <c r="B576" s="20"/>
      <c r="C576" s="20" t="s">
        <v>240</v>
      </c>
      <c r="D576" s="20"/>
      <c r="E576" s="20"/>
      <c r="F576" s="31">
        <f t="shared" si="90"/>
        <v>75000</v>
      </c>
      <c r="G576" s="20"/>
      <c r="H576" s="25">
        <v>0</v>
      </c>
      <c r="I576" s="20"/>
      <c r="J576" s="25">
        <v>72000</v>
      </c>
      <c r="K576" s="20"/>
      <c r="L576" s="25">
        <v>3000</v>
      </c>
      <c r="M576" s="20"/>
      <c r="N576" s="25">
        <v>45000</v>
      </c>
      <c r="O576" s="20"/>
      <c r="P576" s="25">
        <v>30000</v>
      </c>
      <c r="Q576" s="20"/>
      <c r="R576" s="25">
        <v>0</v>
      </c>
    </row>
    <row r="577" spans="1:18" x14ac:dyDescent="0.2">
      <c r="A577" s="20"/>
      <c r="B577" s="20"/>
      <c r="C577" s="20" t="s">
        <v>241</v>
      </c>
      <c r="D577" s="20"/>
      <c r="E577" s="20"/>
      <c r="F577" s="31">
        <f t="shared" si="90"/>
        <v>31000</v>
      </c>
      <c r="G577" s="20"/>
      <c r="H577" s="25">
        <v>0</v>
      </c>
      <c r="I577" s="20"/>
      <c r="J577" s="25">
        <v>31000</v>
      </c>
      <c r="K577" s="20"/>
      <c r="L577" s="25">
        <v>0</v>
      </c>
      <c r="M577" s="20"/>
      <c r="N577" s="25">
        <v>0</v>
      </c>
      <c r="O577" s="20"/>
      <c r="P577" s="25">
        <v>31000</v>
      </c>
      <c r="Q577" s="20"/>
      <c r="R577" s="25">
        <v>0</v>
      </c>
    </row>
    <row r="578" spans="1:18" x14ac:dyDescent="0.2">
      <c r="A578" s="20"/>
      <c r="B578" s="20"/>
      <c r="C578" s="20" t="s">
        <v>242</v>
      </c>
      <c r="D578" s="20"/>
      <c r="E578" s="20"/>
      <c r="F578" s="31">
        <f t="shared" si="90"/>
        <v>0</v>
      </c>
      <c r="G578" s="20"/>
      <c r="H578" s="25"/>
      <c r="I578" s="20"/>
      <c r="J578" s="25"/>
      <c r="K578" s="20"/>
      <c r="L578" s="25"/>
      <c r="M578" s="20"/>
      <c r="N578" s="25"/>
      <c r="O578" s="20"/>
      <c r="P578" s="25"/>
      <c r="Q578" s="20"/>
      <c r="R578" s="25"/>
    </row>
    <row r="579" spans="1:18" x14ac:dyDescent="0.2">
      <c r="A579" s="20"/>
      <c r="B579" s="20"/>
      <c r="C579" s="20"/>
      <c r="D579" s="20"/>
      <c r="E579" s="20" t="s">
        <v>243</v>
      </c>
      <c r="F579" s="31">
        <f t="shared" si="90"/>
        <v>250000</v>
      </c>
      <c r="G579" s="20"/>
      <c r="H579" s="25">
        <v>36000</v>
      </c>
      <c r="I579" s="20"/>
      <c r="J579" s="25">
        <v>200000</v>
      </c>
      <c r="K579" s="20"/>
      <c r="L579" s="25">
        <v>14000</v>
      </c>
      <c r="M579" s="20"/>
      <c r="N579" s="25">
        <v>141000</v>
      </c>
      <c r="O579" s="20"/>
      <c r="P579" s="25">
        <v>109000</v>
      </c>
      <c r="Q579" s="20"/>
      <c r="R579" s="25">
        <v>0</v>
      </c>
    </row>
    <row r="580" spans="1:18" x14ac:dyDescent="0.2">
      <c r="A580" s="20"/>
      <c r="B580" s="20"/>
      <c r="C580" s="20" t="s">
        <v>244</v>
      </c>
      <c r="D580" s="20"/>
      <c r="E580" s="20"/>
      <c r="F580" s="31">
        <f t="shared" si="90"/>
        <v>455000</v>
      </c>
      <c r="G580" s="20"/>
      <c r="H580" s="25">
        <v>80000</v>
      </c>
      <c r="I580" s="20"/>
      <c r="J580" s="25">
        <v>377000</v>
      </c>
      <c r="K580" s="20"/>
      <c r="L580" s="25">
        <v>-2000</v>
      </c>
      <c r="M580" s="20"/>
      <c r="N580" s="25">
        <v>449000</v>
      </c>
      <c r="O580" s="20"/>
      <c r="P580" s="25">
        <v>6000</v>
      </c>
      <c r="Q580" s="20"/>
      <c r="R580" s="25">
        <v>0</v>
      </c>
    </row>
    <row r="581" spans="1:18" x14ac:dyDescent="0.2">
      <c r="A581" s="20"/>
      <c r="B581" s="20"/>
      <c r="C581" s="20" t="s">
        <v>245</v>
      </c>
      <c r="D581" s="20"/>
      <c r="E581" s="20"/>
      <c r="F581" s="28">
        <f t="shared" si="90"/>
        <v>578000</v>
      </c>
      <c r="G581" s="20"/>
      <c r="H581" s="27">
        <v>-329786000</v>
      </c>
      <c r="I581" s="20"/>
      <c r="J581" s="27">
        <v>330364000</v>
      </c>
      <c r="K581" s="20"/>
      <c r="L581" s="27">
        <v>0</v>
      </c>
      <c r="M581" s="20"/>
      <c r="N581" s="27">
        <v>0</v>
      </c>
      <c r="O581" s="20"/>
      <c r="P581" s="27">
        <v>578000</v>
      </c>
      <c r="Q581" s="20"/>
      <c r="R581" s="27">
        <v>0</v>
      </c>
    </row>
    <row r="582" spans="1:18" x14ac:dyDescent="0.2">
      <c r="A582" s="20"/>
      <c r="B582" s="20"/>
      <c r="C582" s="20"/>
      <c r="D582" s="20"/>
      <c r="E582" s="20"/>
      <c r="F582" s="21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</row>
    <row r="583" spans="1:18" x14ac:dyDescent="0.2">
      <c r="A583" s="20"/>
      <c r="B583" s="20"/>
      <c r="C583" s="20"/>
      <c r="D583" s="20"/>
      <c r="E583" s="20" t="s">
        <v>3</v>
      </c>
      <c r="F583" s="28">
        <f>SUM(F545:F582)</f>
        <v>-8872000</v>
      </c>
      <c r="G583" s="27">
        <f t="shared" ref="G583:R583" si="91">SUM(G545:G582)</f>
        <v>0</v>
      </c>
      <c r="H583" s="27">
        <f t="shared" si="91"/>
        <v>-286398000</v>
      </c>
      <c r="I583" s="27">
        <f t="shared" si="91"/>
        <v>0</v>
      </c>
      <c r="J583" s="27">
        <f t="shared" si="91"/>
        <v>267162000</v>
      </c>
      <c r="K583" s="27">
        <f t="shared" si="91"/>
        <v>0</v>
      </c>
      <c r="L583" s="27">
        <f t="shared" si="91"/>
        <v>10364000</v>
      </c>
      <c r="M583" s="27">
        <f t="shared" si="91"/>
        <v>0</v>
      </c>
      <c r="N583" s="27">
        <f t="shared" si="91"/>
        <v>5598000</v>
      </c>
      <c r="O583" s="27">
        <f t="shared" si="91"/>
        <v>0</v>
      </c>
      <c r="P583" s="27">
        <f t="shared" si="91"/>
        <v>-14432000</v>
      </c>
      <c r="Q583" s="27">
        <f t="shared" si="91"/>
        <v>0</v>
      </c>
      <c r="R583" s="27">
        <f t="shared" si="91"/>
        <v>38000</v>
      </c>
    </row>
    <row r="584" spans="1:18" x14ac:dyDescent="0.2">
      <c r="A584" s="20"/>
      <c r="B584" s="20"/>
      <c r="C584" s="20"/>
      <c r="D584" s="20"/>
      <c r="E584" s="20"/>
      <c r="F584" s="21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</row>
    <row r="585" spans="1:18" x14ac:dyDescent="0.2">
      <c r="A585" s="20"/>
      <c r="B585" s="20" t="s">
        <v>24</v>
      </c>
      <c r="C585" s="20"/>
      <c r="D585" s="20"/>
      <c r="E585" s="20"/>
      <c r="F585" s="21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</row>
    <row r="586" spans="1:18" x14ac:dyDescent="0.2">
      <c r="A586" s="20"/>
      <c r="B586" s="20"/>
      <c r="C586" s="20" t="s">
        <v>246</v>
      </c>
      <c r="D586" s="20"/>
      <c r="E586" s="20"/>
      <c r="F586" s="31">
        <f t="shared" ref="F586:F649" si="92">SUM(H586:L586)</f>
        <v>0</v>
      </c>
      <c r="G586" s="20"/>
      <c r="H586" s="25">
        <v>0</v>
      </c>
      <c r="I586" s="20"/>
      <c r="J586" s="25">
        <v>0</v>
      </c>
      <c r="K586" s="20"/>
      <c r="L586" s="25">
        <v>0</v>
      </c>
      <c r="M586" s="20"/>
      <c r="N586" s="25">
        <v>0</v>
      </c>
      <c r="O586" s="20"/>
      <c r="P586" s="25">
        <v>0</v>
      </c>
      <c r="Q586" s="20"/>
      <c r="R586" s="25">
        <v>0</v>
      </c>
    </row>
    <row r="587" spans="1:18" x14ac:dyDescent="0.2">
      <c r="A587" s="20"/>
      <c r="B587" s="20"/>
      <c r="C587" s="20" t="s">
        <v>210</v>
      </c>
      <c r="D587" s="20"/>
      <c r="E587" s="20"/>
      <c r="F587" s="31">
        <f t="shared" si="92"/>
        <v>449000</v>
      </c>
      <c r="G587" s="20"/>
      <c r="H587" s="25">
        <v>158000</v>
      </c>
      <c r="I587" s="20"/>
      <c r="J587" s="25">
        <v>20000</v>
      </c>
      <c r="K587" s="20"/>
      <c r="L587" s="25">
        <v>271000</v>
      </c>
      <c r="M587" s="20"/>
      <c r="N587" s="25">
        <v>224000</v>
      </c>
      <c r="O587" s="20"/>
      <c r="P587" s="25">
        <v>227000</v>
      </c>
      <c r="Q587" s="20"/>
      <c r="R587" s="25">
        <v>2000</v>
      </c>
    </row>
    <row r="588" spans="1:18" x14ac:dyDescent="0.2">
      <c r="A588" s="20"/>
      <c r="B588" s="20"/>
      <c r="C588" s="20" t="s">
        <v>247</v>
      </c>
      <c r="D588" s="20"/>
      <c r="E588" s="20"/>
      <c r="F588" s="31">
        <f t="shared" si="92"/>
        <v>162000</v>
      </c>
      <c r="G588" s="20"/>
      <c r="H588" s="25">
        <v>108000</v>
      </c>
      <c r="I588" s="20"/>
      <c r="J588" s="25">
        <v>32000</v>
      </c>
      <c r="K588" s="20"/>
      <c r="L588" s="25">
        <v>22000</v>
      </c>
      <c r="M588" s="20"/>
      <c r="N588" s="25">
        <v>72000</v>
      </c>
      <c r="O588" s="20"/>
      <c r="P588" s="25">
        <v>90000</v>
      </c>
      <c r="Q588" s="20"/>
      <c r="R588" s="25">
        <v>0</v>
      </c>
    </row>
    <row r="589" spans="1:18" x14ac:dyDescent="0.2">
      <c r="A589" s="20"/>
      <c r="B589" s="20"/>
      <c r="C589" s="20" t="s">
        <v>248</v>
      </c>
      <c r="D589" s="20"/>
      <c r="E589" s="20"/>
      <c r="F589" s="31">
        <f t="shared" si="92"/>
        <v>0</v>
      </c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</row>
    <row r="590" spans="1:18" x14ac:dyDescent="0.2">
      <c r="A590" s="20"/>
      <c r="B590" s="20"/>
      <c r="C590" s="20"/>
      <c r="D590" s="20"/>
      <c r="E590" s="20" t="s">
        <v>249</v>
      </c>
      <c r="F590" s="31">
        <f t="shared" si="92"/>
        <v>43000</v>
      </c>
      <c r="G590" s="20"/>
      <c r="H590" s="25">
        <v>43000</v>
      </c>
      <c r="I590" s="20"/>
      <c r="J590" s="25">
        <v>0</v>
      </c>
      <c r="K590" s="20"/>
      <c r="L590" s="25">
        <v>0</v>
      </c>
      <c r="M590" s="20"/>
      <c r="N590" s="25">
        <v>28000</v>
      </c>
      <c r="O590" s="20"/>
      <c r="P590" s="25">
        <v>15000</v>
      </c>
      <c r="Q590" s="20"/>
      <c r="R590" s="25">
        <v>0</v>
      </c>
    </row>
    <row r="591" spans="1:18" x14ac:dyDescent="0.2">
      <c r="A591" s="20"/>
      <c r="B591" s="20"/>
      <c r="C591" s="20" t="s">
        <v>211</v>
      </c>
      <c r="D591" s="20"/>
      <c r="E591" s="20"/>
      <c r="F591" s="31">
        <f t="shared" si="92"/>
        <v>5635000</v>
      </c>
      <c r="G591" s="20"/>
      <c r="H591" s="25">
        <v>606000</v>
      </c>
      <c r="I591" s="20"/>
      <c r="J591" s="25">
        <v>84000</v>
      </c>
      <c r="K591" s="20"/>
      <c r="L591" s="25">
        <v>4945000</v>
      </c>
      <c r="M591" s="20"/>
      <c r="N591" s="25">
        <v>2922000</v>
      </c>
      <c r="O591" s="20"/>
      <c r="P591" s="25">
        <v>2802000</v>
      </c>
      <c r="Q591" s="20"/>
      <c r="R591" s="25">
        <v>89000</v>
      </c>
    </row>
    <row r="592" spans="1:18" x14ac:dyDescent="0.2">
      <c r="A592" s="20"/>
      <c r="B592" s="20"/>
      <c r="C592" s="20" t="s">
        <v>250</v>
      </c>
      <c r="D592" s="20"/>
      <c r="E592" s="20"/>
      <c r="F592" s="31">
        <f t="shared" si="92"/>
        <v>867000</v>
      </c>
      <c r="G592" s="20"/>
      <c r="H592" s="25">
        <v>65000</v>
      </c>
      <c r="I592" s="20"/>
      <c r="J592" s="25">
        <v>19000</v>
      </c>
      <c r="K592" s="20"/>
      <c r="L592" s="25">
        <v>783000</v>
      </c>
      <c r="M592" s="20"/>
      <c r="N592" s="25">
        <v>421000</v>
      </c>
      <c r="O592" s="20"/>
      <c r="P592" s="25">
        <v>446000</v>
      </c>
      <c r="Q592" s="20"/>
      <c r="R592" s="25">
        <v>0</v>
      </c>
    </row>
    <row r="593" spans="1:18" x14ac:dyDescent="0.2">
      <c r="A593" s="20"/>
      <c r="B593" s="20"/>
      <c r="C593" s="20" t="s">
        <v>251</v>
      </c>
      <c r="D593" s="20"/>
      <c r="E593" s="20"/>
      <c r="F593" s="31">
        <f t="shared" si="92"/>
        <v>126000</v>
      </c>
      <c r="G593" s="20"/>
      <c r="H593" s="25">
        <v>124000</v>
      </c>
      <c r="I593" s="20"/>
      <c r="J593" s="25">
        <v>-5000</v>
      </c>
      <c r="K593" s="20"/>
      <c r="L593" s="25">
        <v>7000</v>
      </c>
      <c r="M593" s="20"/>
      <c r="N593" s="25">
        <v>92000</v>
      </c>
      <c r="O593" s="20"/>
      <c r="P593" s="25">
        <v>40000</v>
      </c>
      <c r="Q593" s="20"/>
      <c r="R593" s="25">
        <v>6000</v>
      </c>
    </row>
    <row r="594" spans="1:18" x14ac:dyDescent="0.2">
      <c r="A594" s="20"/>
      <c r="B594" s="20"/>
      <c r="C594" s="20" t="s">
        <v>252</v>
      </c>
      <c r="D594" s="20"/>
      <c r="E594" s="20"/>
      <c r="F594" s="31">
        <f t="shared" si="92"/>
        <v>425000</v>
      </c>
      <c r="G594" s="20"/>
      <c r="H594" s="25">
        <v>228000</v>
      </c>
      <c r="I594" s="20"/>
      <c r="J594" s="25">
        <v>12000</v>
      </c>
      <c r="K594" s="20"/>
      <c r="L594" s="25">
        <v>185000</v>
      </c>
      <c r="M594" s="20"/>
      <c r="N594" s="25">
        <v>216000</v>
      </c>
      <c r="O594" s="20"/>
      <c r="P594" s="25">
        <v>214000</v>
      </c>
      <c r="Q594" s="20"/>
      <c r="R594" s="25">
        <v>5000</v>
      </c>
    </row>
    <row r="595" spans="1:18" x14ac:dyDescent="0.2">
      <c r="A595" s="20"/>
      <c r="B595" s="20"/>
      <c r="C595" s="20" t="s">
        <v>253</v>
      </c>
      <c r="D595" s="20"/>
      <c r="E595" s="20"/>
      <c r="F595" s="31">
        <f t="shared" si="92"/>
        <v>0</v>
      </c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</row>
    <row r="596" spans="1:18" x14ac:dyDescent="0.2">
      <c r="A596" s="20"/>
      <c r="B596" s="20"/>
      <c r="C596" s="20"/>
      <c r="D596" s="20"/>
      <c r="E596" s="20" t="s">
        <v>254</v>
      </c>
      <c r="F596" s="31">
        <f t="shared" si="92"/>
        <v>7337000</v>
      </c>
      <c r="G596" s="20"/>
      <c r="H596" s="25">
        <v>65000</v>
      </c>
      <c r="I596" s="20"/>
      <c r="J596" s="25">
        <v>687000</v>
      </c>
      <c r="K596" s="20"/>
      <c r="L596" s="25">
        <v>6585000</v>
      </c>
      <c r="M596" s="20"/>
      <c r="N596" s="25">
        <v>1553000</v>
      </c>
      <c r="O596" s="20"/>
      <c r="P596" s="25">
        <v>5784000</v>
      </c>
      <c r="Q596" s="20"/>
      <c r="R596" s="25">
        <v>0</v>
      </c>
    </row>
    <row r="597" spans="1:18" x14ac:dyDescent="0.2">
      <c r="A597" s="20"/>
      <c r="B597" s="20"/>
      <c r="C597" s="20" t="s">
        <v>213</v>
      </c>
      <c r="D597" s="20"/>
      <c r="E597" s="20"/>
      <c r="F597" s="31">
        <f t="shared" si="92"/>
        <v>0</v>
      </c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</row>
    <row r="598" spans="1:18" x14ac:dyDescent="0.2">
      <c r="A598" s="20"/>
      <c r="B598" s="20"/>
      <c r="C598" s="20"/>
      <c r="D598" s="20"/>
      <c r="E598" s="20" t="s">
        <v>214</v>
      </c>
      <c r="F598" s="31">
        <f t="shared" si="92"/>
        <v>32549000</v>
      </c>
      <c r="G598" s="20"/>
      <c r="H598" s="25">
        <v>698000</v>
      </c>
      <c r="I598" s="20"/>
      <c r="J598" s="25">
        <v>2712000</v>
      </c>
      <c r="K598" s="20"/>
      <c r="L598" s="25">
        <v>29139000</v>
      </c>
      <c r="M598" s="20"/>
      <c r="N598" s="25">
        <v>15540000</v>
      </c>
      <c r="O598" s="20"/>
      <c r="P598" s="25">
        <v>17086000</v>
      </c>
      <c r="Q598" s="20"/>
      <c r="R598" s="25">
        <v>77000</v>
      </c>
    </row>
    <row r="599" spans="1:18" x14ac:dyDescent="0.2">
      <c r="A599" s="20"/>
      <c r="B599" s="20"/>
      <c r="C599" s="20" t="s">
        <v>215</v>
      </c>
      <c r="D599" s="20"/>
      <c r="E599" s="20"/>
      <c r="F599" s="31">
        <f t="shared" si="92"/>
        <v>733000</v>
      </c>
      <c r="G599" s="20"/>
      <c r="H599" s="25">
        <v>586000</v>
      </c>
      <c r="I599" s="20"/>
      <c r="J599" s="25">
        <v>-99000</v>
      </c>
      <c r="K599" s="20"/>
      <c r="L599" s="25">
        <v>246000</v>
      </c>
      <c r="M599" s="20"/>
      <c r="N599" s="25">
        <v>821000</v>
      </c>
      <c r="O599" s="20"/>
      <c r="P599" s="25">
        <v>776000</v>
      </c>
      <c r="Q599" s="20"/>
      <c r="R599" s="25">
        <v>864000</v>
      </c>
    </row>
    <row r="600" spans="1:18" x14ac:dyDescent="0.2">
      <c r="A600" s="20"/>
      <c r="B600" s="20"/>
      <c r="C600" s="20" t="s">
        <v>255</v>
      </c>
      <c r="D600" s="20"/>
      <c r="E600" s="20"/>
      <c r="F600" s="31">
        <f t="shared" si="92"/>
        <v>18000</v>
      </c>
      <c r="G600" s="20"/>
      <c r="H600" s="25">
        <v>0</v>
      </c>
      <c r="I600" s="20"/>
      <c r="J600" s="25">
        <v>18000</v>
      </c>
      <c r="K600" s="20"/>
      <c r="L600" s="25">
        <v>0</v>
      </c>
      <c r="M600" s="20"/>
      <c r="N600" s="25">
        <v>13000</v>
      </c>
      <c r="O600" s="20"/>
      <c r="P600" s="25">
        <v>5000</v>
      </c>
      <c r="Q600" s="20"/>
      <c r="R600" s="25">
        <v>0</v>
      </c>
    </row>
    <row r="601" spans="1:18" x14ac:dyDescent="0.2">
      <c r="A601" s="20"/>
      <c r="B601" s="20"/>
      <c r="C601" s="20" t="s">
        <v>256</v>
      </c>
      <c r="D601" s="20"/>
      <c r="E601" s="20"/>
      <c r="F601" s="31">
        <f t="shared" si="92"/>
        <v>0</v>
      </c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</row>
    <row r="602" spans="1:18" x14ac:dyDescent="0.2">
      <c r="A602" s="20"/>
      <c r="B602" s="20"/>
      <c r="C602" s="20"/>
      <c r="D602" s="20"/>
      <c r="E602" s="20" t="s">
        <v>51</v>
      </c>
      <c r="F602" s="31">
        <f t="shared" si="92"/>
        <v>3955000</v>
      </c>
      <c r="G602" s="20"/>
      <c r="H602" s="25">
        <v>43000</v>
      </c>
      <c r="I602" s="20"/>
      <c r="J602" s="25">
        <v>105000</v>
      </c>
      <c r="K602" s="20"/>
      <c r="L602" s="25">
        <v>3807000</v>
      </c>
      <c r="M602" s="20"/>
      <c r="N602" s="25">
        <v>1851000</v>
      </c>
      <c r="O602" s="20"/>
      <c r="P602" s="25">
        <v>2107000</v>
      </c>
      <c r="Q602" s="20"/>
      <c r="R602" s="25">
        <v>3000</v>
      </c>
    </row>
    <row r="603" spans="1:18" x14ac:dyDescent="0.2">
      <c r="A603" s="20"/>
      <c r="B603" s="20"/>
      <c r="C603" s="20" t="s">
        <v>257</v>
      </c>
      <c r="D603" s="20"/>
      <c r="E603" s="20"/>
      <c r="F603" s="31">
        <f t="shared" si="92"/>
        <v>0</v>
      </c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</row>
    <row r="604" spans="1:18" x14ac:dyDescent="0.2">
      <c r="A604" s="20"/>
      <c r="B604" s="20"/>
      <c r="C604" s="20"/>
      <c r="D604" s="20"/>
      <c r="E604" s="20" t="s">
        <v>258</v>
      </c>
      <c r="F604" s="31">
        <f t="shared" si="92"/>
        <v>4714000</v>
      </c>
      <c r="G604" s="20"/>
      <c r="H604" s="25">
        <v>1437000</v>
      </c>
      <c r="I604" s="20"/>
      <c r="J604" s="25">
        <v>2023000</v>
      </c>
      <c r="K604" s="20"/>
      <c r="L604" s="25">
        <v>1254000</v>
      </c>
      <c r="M604" s="20"/>
      <c r="N604" s="25">
        <v>2879000</v>
      </c>
      <c r="O604" s="20"/>
      <c r="P604" s="25">
        <v>1835000</v>
      </c>
      <c r="Q604" s="20"/>
      <c r="R604" s="25">
        <v>0</v>
      </c>
    </row>
    <row r="605" spans="1:18" x14ac:dyDescent="0.2">
      <c r="A605" s="20"/>
      <c r="B605" s="20"/>
      <c r="C605" s="20" t="s">
        <v>259</v>
      </c>
      <c r="D605" s="20"/>
      <c r="E605" s="20"/>
      <c r="F605" s="31">
        <f t="shared" si="92"/>
        <v>0</v>
      </c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</row>
    <row r="606" spans="1:18" x14ac:dyDescent="0.2">
      <c r="A606" s="20"/>
      <c r="B606" s="20"/>
      <c r="C606" s="20"/>
      <c r="D606" s="20"/>
      <c r="E606" s="20" t="s">
        <v>260</v>
      </c>
      <c r="F606" s="31">
        <f t="shared" si="92"/>
        <v>283000</v>
      </c>
      <c r="G606" s="20"/>
      <c r="H606" s="25">
        <v>28000</v>
      </c>
      <c r="I606" s="20"/>
      <c r="J606" s="25">
        <v>65000</v>
      </c>
      <c r="K606" s="20"/>
      <c r="L606" s="25">
        <v>190000</v>
      </c>
      <c r="M606" s="20"/>
      <c r="N606" s="25">
        <v>202000</v>
      </c>
      <c r="O606" s="20"/>
      <c r="P606" s="25">
        <v>81000</v>
      </c>
      <c r="Q606" s="20"/>
      <c r="R606" s="25">
        <v>0</v>
      </c>
    </row>
    <row r="607" spans="1:18" x14ac:dyDescent="0.2">
      <c r="A607" s="20"/>
      <c r="B607" s="20"/>
      <c r="C607" s="20" t="s">
        <v>261</v>
      </c>
      <c r="D607" s="20"/>
      <c r="E607" s="20"/>
      <c r="F607" s="31">
        <f t="shared" si="92"/>
        <v>0</v>
      </c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</row>
    <row r="608" spans="1:18" x14ac:dyDescent="0.2">
      <c r="A608" s="20"/>
      <c r="B608" s="20"/>
      <c r="C608" s="20"/>
      <c r="D608" s="20"/>
      <c r="E608" s="20" t="s">
        <v>262</v>
      </c>
      <c r="F608" s="31">
        <f t="shared" si="92"/>
        <v>3810000</v>
      </c>
      <c r="G608" s="20"/>
      <c r="H608" s="25">
        <v>-1000</v>
      </c>
      <c r="I608" s="20"/>
      <c r="J608" s="25">
        <v>3000</v>
      </c>
      <c r="K608" s="20"/>
      <c r="L608" s="25">
        <v>3808000</v>
      </c>
      <c r="M608" s="20"/>
      <c r="N608" s="25">
        <v>2264000</v>
      </c>
      <c r="O608" s="20"/>
      <c r="P608" s="25">
        <v>1546000</v>
      </c>
      <c r="Q608" s="20"/>
      <c r="R608" s="25">
        <v>0</v>
      </c>
    </row>
    <row r="609" spans="1:18" x14ac:dyDescent="0.2">
      <c r="A609" s="20"/>
      <c r="B609" s="20"/>
      <c r="C609" s="20" t="s">
        <v>263</v>
      </c>
      <c r="D609" s="20"/>
      <c r="E609" s="20"/>
      <c r="F609" s="31">
        <f t="shared" si="92"/>
        <v>0</v>
      </c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</row>
    <row r="610" spans="1:18" x14ac:dyDescent="0.2">
      <c r="A610" s="20"/>
      <c r="B610" s="20"/>
      <c r="C610" s="20"/>
      <c r="D610" s="20"/>
      <c r="E610" s="20" t="s">
        <v>264</v>
      </c>
      <c r="F610" s="31">
        <f t="shared" si="92"/>
        <v>550000</v>
      </c>
      <c r="G610" s="20"/>
      <c r="H610" s="25">
        <v>335000</v>
      </c>
      <c r="I610" s="20"/>
      <c r="J610" s="25">
        <v>192000</v>
      </c>
      <c r="K610" s="20"/>
      <c r="L610" s="25">
        <v>23000</v>
      </c>
      <c r="M610" s="20"/>
      <c r="N610" s="25">
        <v>375000</v>
      </c>
      <c r="O610" s="20"/>
      <c r="P610" s="25">
        <v>281000</v>
      </c>
      <c r="Q610" s="20"/>
      <c r="R610" s="25">
        <v>106000</v>
      </c>
    </row>
    <row r="611" spans="1:18" x14ac:dyDescent="0.2">
      <c r="A611" s="20"/>
      <c r="B611" s="20"/>
      <c r="C611" s="20" t="s">
        <v>265</v>
      </c>
      <c r="D611" s="20"/>
      <c r="E611" s="20"/>
      <c r="F611" s="31">
        <f t="shared" si="92"/>
        <v>0</v>
      </c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</row>
    <row r="612" spans="1:18" x14ac:dyDescent="0.2">
      <c r="A612" s="20"/>
      <c r="B612" s="20"/>
      <c r="C612" s="20"/>
      <c r="D612" s="20"/>
      <c r="E612" s="20" t="s">
        <v>266</v>
      </c>
      <c r="F612" s="31">
        <f t="shared" si="92"/>
        <v>283000</v>
      </c>
      <c r="G612" s="20"/>
      <c r="H612" s="25">
        <v>0</v>
      </c>
      <c r="I612" s="20"/>
      <c r="J612" s="25">
        <v>229000</v>
      </c>
      <c r="K612" s="20"/>
      <c r="L612" s="25">
        <v>54000</v>
      </c>
      <c r="M612" s="20"/>
      <c r="N612" s="25">
        <v>148000</v>
      </c>
      <c r="O612" s="20"/>
      <c r="P612" s="25">
        <v>135000</v>
      </c>
      <c r="Q612" s="20"/>
      <c r="R612" s="25">
        <v>0</v>
      </c>
    </row>
    <row r="613" spans="1:18" x14ac:dyDescent="0.2">
      <c r="A613" s="20"/>
      <c r="B613" s="20"/>
      <c r="C613" s="20" t="s">
        <v>267</v>
      </c>
      <c r="D613" s="20"/>
      <c r="E613" s="20"/>
      <c r="F613" s="31">
        <f t="shared" si="92"/>
        <v>60000</v>
      </c>
      <c r="G613" s="20"/>
      <c r="H613" s="25">
        <v>60000</v>
      </c>
      <c r="I613" s="20"/>
      <c r="J613" s="25">
        <v>0</v>
      </c>
      <c r="K613" s="20"/>
      <c r="L613" s="25">
        <v>0</v>
      </c>
      <c r="M613" s="20"/>
      <c r="N613" s="25">
        <v>8000</v>
      </c>
      <c r="O613" s="20"/>
      <c r="P613" s="25">
        <v>52000</v>
      </c>
      <c r="Q613" s="20"/>
      <c r="R613" s="25">
        <v>0</v>
      </c>
    </row>
    <row r="614" spans="1:18" x14ac:dyDescent="0.2">
      <c r="A614" s="20"/>
      <c r="B614" s="20"/>
      <c r="C614" s="20" t="s">
        <v>268</v>
      </c>
      <c r="D614" s="20"/>
      <c r="E614" s="20"/>
      <c r="F614" s="31">
        <f t="shared" si="92"/>
        <v>0</v>
      </c>
      <c r="G614" s="20"/>
      <c r="H614" s="25">
        <v>0</v>
      </c>
      <c r="I614" s="20"/>
      <c r="J614" s="25">
        <v>0</v>
      </c>
      <c r="K614" s="20"/>
      <c r="L614" s="25">
        <v>0</v>
      </c>
      <c r="M614" s="20"/>
      <c r="N614" s="25">
        <v>0</v>
      </c>
      <c r="O614" s="20"/>
      <c r="P614" s="25">
        <v>0</v>
      </c>
      <c r="Q614" s="20"/>
      <c r="R614" s="25">
        <v>0</v>
      </c>
    </row>
    <row r="615" spans="1:18" x14ac:dyDescent="0.2">
      <c r="A615" s="20"/>
      <c r="B615" s="20"/>
      <c r="C615" s="20" t="s">
        <v>269</v>
      </c>
      <c r="D615" s="20"/>
      <c r="E615" s="20"/>
      <c r="F615" s="31">
        <f t="shared" si="92"/>
        <v>5795000</v>
      </c>
      <c r="G615" s="20"/>
      <c r="H615" s="25">
        <v>1000</v>
      </c>
      <c r="I615" s="20"/>
      <c r="J615" s="25">
        <v>272000</v>
      </c>
      <c r="K615" s="20"/>
      <c r="L615" s="25">
        <v>5522000</v>
      </c>
      <c r="M615" s="20"/>
      <c r="N615" s="25">
        <v>2376000</v>
      </c>
      <c r="O615" s="20"/>
      <c r="P615" s="25">
        <v>3419000</v>
      </c>
      <c r="Q615" s="20"/>
      <c r="R615" s="25">
        <v>0</v>
      </c>
    </row>
    <row r="616" spans="1:18" x14ac:dyDescent="0.2">
      <c r="A616" s="20"/>
      <c r="B616" s="20"/>
      <c r="C616" s="20" t="s">
        <v>270</v>
      </c>
      <c r="D616" s="20"/>
      <c r="E616" s="20"/>
      <c r="F616" s="31">
        <f t="shared" si="92"/>
        <v>2878000</v>
      </c>
      <c r="G616" s="20"/>
      <c r="H616" s="25">
        <v>0</v>
      </c>
      <c r="I616" s="20"/>
      <c r="J616" s="25">
        <v>3000</v>
      </c>
      <c r="K616" s="20"/>
      <c r="L616" s="25">
        <v>2875000</v>
      </c>
      <c r="M616" s="20"/>
      <c r="N616" s="25">
        <v>1602000</v>
      </c>
      <c r="O616" s="20"/>
      <c r="P616" s="25">
        <v>1276000</v>
      </c>
      <c r="Q616" s="20"/>
      <c r="R616" s="25">
        <v>0</v>
      </c>
    </row>
    <row r="617" spans="1:18" x14ac:dyDescent="0.2">
      <c r="A617" s="20"/>
      <c r="B617" s="20"/>
      <c r="C617" s="20" t="s">
        <v>271</v>
      </c>
      <c r="D617" s="20"/>
      <c r="E617" s="20"/>
      <c r="F617" s="31">
        <f t="shared" si="92"/>
        <v>0</v>
      </c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</row>
    <row r="618" spans="1:18" x14ac:dyDescent="0.2">
      <c r="A618" s="20"/>
      <c r="B618" s="20"/>
      <c r="C618" s="20" t="s">
        <v>272</v>
      </c>
      <c r="D618" s="20"/>
      <c r="E618" s="20" t="s">
        <v>273</v>
      </c>
      <c r="F618" s="31">
        <f t="shared" si="92"/>
        <v>0</v>
      </c>
      <c r="G618" s="20"/>
      <c r="H618" s="25">
        <v>0</v>
      </c>
      <c r="I618" s="20"/>
      <c r="J618" s="25">
        <v>0</v>
      </c>
      <c r="K618" s="20"/>
      <c r="L618" s="25">
        <v>0</v>
      </c>
      <c r="M618" s="20"/>
      <c r="N618" s="25">
        <v>0</v>
      </c>
      <c r="O618" s="20"/>
      <c r="P618" s="25">
        <v>0</v>
      </c>
      <c r="Q618" s="20"/>
      <c r="R618" s="25">
        <v>0</v>
      </c>
    </row>
    <row r="619" spans="1:18" x14ac:dyDescent="0.2">
      <c r="A619" s="20"/>
      <c r="B619" s="20"/>
      <c r="C619" s="20" t="s">
        <v>274</v>
      </c>
      <c r="D619" s="20"/>
      <c r="E619" s="20"/>
      <c r="F619" s="31">
        <f t="shared" si="92"/>
        <v>468000</v>
      </c>
      <c r="G619" s="20"/>
      <c r="H619" s="25">
        <v>0</v>
      </c>
      <c r="I619" s="20"/>
      <c r="J619" s="25">
        <v>0</v>
      </c>
      <c r="K619" s="20"/>
      <c r="L619" s="25">
        <v>468000</v>
      </c>
      <c r="M619" s="20"/>
      <c r="N619" s="25">
        <v>23000</v>
      </c>
      <c r="O619" s="20"/>
      <c r="P619" s="25">
        <v>445000</v>
      </c>
      <c r="Q619" s="20"/>
      <c r="R619" s="25">
        <v>0</v>
      </c>
    </row>
    <row r="620" spans="1:18" x14ac:dyDescent="0.2">
      <c r="A620" s="20"/>
      <c r="B620" s="20"/>
      <c r="C620" s="20" t="s">
        <v>275</v>
      </c>
      <c r="D620" s="20"/>
      <c r="E620" s="20"/>
      <c r="F620" s="31">
        <f t="shared" si="92"/>
        <v>1978000</v>
      </c>
      <c r="G620" s="20"/>
      <c r="H620" s="25">
        <v>524000</v>
      </c>
      <c r="I620" s="20"/>
      <c r="J620" s="25">
        <v>708000</v>
      </c>
      <c r="K620" s="20"/>
      <c r="L620" s="25">
        <v>746000</v>
      </c>
      <c r="M620" s="20"/>
      <c r="N620" s="25">
        <v>949000</v>
      </c>
      <c r="O620" s="20"/>
      <c r="P620" s="25">
        <v>1371000</v>
      </c>
      <c r="Q620" s="20"/>
      <c r="R620" s="25">
        <v>342000</v>
      </c>
    </row>
    <row r="621" spans="1:18" x14ac:dyDescent="0.2">
      <c r="A621" s="20"/>
      <c r="B621" s="20"/>
      <c r="C621" s="20" t="s">
        <v>276</v>
      </c>
      <c r="D621" s="20"/>
      <c r="E621" s="20"/>
      <c r="F621" s="31">
        <f t="shared" si="92"/>
        <v>41000</v>
      </c>
      <c r="G621" s="20"/>
      <c r="H621" s="25">
        <v>1000</v>
      </c>
      <c r="I621" s="20"/>
      <c r="J621" s="25">
        <v>35000</v>
      </c>
      <c r="K621" s="20"/>
      <c r="L621" s="25">
        <v>5000</v>
      </c>
      <c r="M621" s="20"/>
      <c r="N621" s="25">
        <v>21000</v>
      </c>
      <c r="O621" s="20"/>
      <c r="P621" s="25">
        <v>20000</v>
      </c>
      <c r="Q621" s="20"/>
      <c r="R621" s="25">
        <v>0</v>
      </c>
    </row>
    <row r="622" spans="1:18" x14ac:dyDescent="0.2">
      <c r="A622" s="20"/>
      <c r="B622" s="20"/>
      <c r="C622" s="20" t="s">
        <v>277</v>
      </c>
      <c r="D622" s="20"/>
      <c r="E622" s="20"/>
      <c r="F622" s="31">
        <f t="shared" si="92"/>
        <v>255000</v>
      </c>
      <c r="G622" s="20"/>
      <c r="H622" s="25">
        <v>1000</v>
      </c>
      <c r="I622" s="20"/>
      <c r="J622" s="25">
        <v>3000</v>
      </c>
      <c r="K622" s="20"/>
      <c r="L622" s="25">
        <v>251000</v>
      </c>
      <c r="M622" s="20"/>
      <c r="N622" s="25">
        <v>168000</v>
      </c>
      <c r="O622" s="20"/>
      <c r="P622" s="25">
        <v>87000</v>
      </c>
      <c r="Q622" s="20"/>
      <c r="R622" s="25">
        <v>0</v>
      </c>
    </row>
    <row r="623" spans="1:18" x14ac:dyDescent="0.2">
      <c r="A623" s="20"/>
      <c r="B623" s="20"/>
      <c r="C623" s="20" t="s">
        <v>278</v>
      </c>
      <c r="D623" s="20"/>
      <c r="E623" s="20"/>
      <c r="F623" s="31">
        <f t="shared" si="92"/>
        <v>1287000</v>
      </c>
      <c r="G623" s="20"/>
      <c r="H623" s="25">
        <v>53000</v>
      </c>
      <c r="I623" s="20"/>
      <c r="J623" s="25">
        <v>189000</v>
      </c>
      <c r="K623" s="20"/>
      <c r="L623" s="25">
        <v>1045000</v>
      </c>
      <c r="M623" s="20"/>
      <c r="N623" s="25">
        <v>531000</v>
      </c>
      <c r="O623" s="20"/>
      <c r="P623" s="25">
        <v>756000</v>
      </c>
      <c r="Q623" s="20"/>
      <c r="R623" s="25">
        <v>0</v>
      </c>
    </row>
    <row r="624" spans="1:18" x14ac:dyDescent="0.2">
      <c r="A624" s="20"/>
      <c r="B624" s="20"/>
      <c r="C624" s="20" t="s">
        <v>218</v>
      </c>
      <c r="D624" s="20"/>
      <c r="E624" s="20"/>
      <c r="F624" s="31">
        <f t="shared" si="92"/>
        <v>2399000</v>
      </c>
      <c r="G624" s="20"/>
      <c r="H624" s="25">
        <v>81000</v>
      </c>
      <c r="I624" s="20"/>
      <c r="J624" s="25">
        <v>195000</v>
      </c>
      <c r="K624" s="20"/>
      <c r="L624" s="25">
        <v>2123000</v>
      </c>
      <c r="M624" s="20"/>
      <c r="N624" s="25">
        <v>813000</v>
      </c>
      <c r="O624" s="20"/>
      <c r="P624" s="25">
        <v>1586000</v>
      </c>
      <c r="Q624" s="20"/>
      <c r="R624" s="25">
        <v>0</v>
      </c>
    </row>
    <row r="625" spans="1:18" x14ac:dyDescent="0.2">
      <c r="A625" s="20"/>
      <c r="B625" s="20"/>
      <c r="C625" s="20" t="s">
        <v>279</v>
      </c>
      <c r="D625" s="20"/>
      <c r="E625" s="20"/>
      <c r="F625" s="31">
        <f t="shared" si="92"/>
        <v>4144000</v>
      </c>
      <c r="G625" s="20"/>
      <c r="H625" s="25">
        <v>-1000</v>
      </c>
      <c r="I625" s="20"/>
      <c r="J625" s="25">
        <v>5000</v>
      </c>
      <c r="K625" s="20"/>
      <c r="L625" s="25">
        <v>4140000</v>
      </c>
      <c r="M625" s="20"/>
      <c r="N625" s="25">
        <v>781000</v>
      </c>
      <c r="O625" s="20"/>
      <c r="P625" s="25">
        <v>3366000</v>
      </c>
      <c r="Q625" s="20"/>
      <c r="R625" s="25">
        <v>3000</v>
      </c>
    </row>
    <row r="626" spans="1:18" x14ac:dyDescent="0.2">
      <c r="A626" s="20"/>
      <c r="B626" s="20"/>
      <c r="C626" s="20" t="s">
        <v>219</v>
      </c>
      <c r="D626" s="20"/>
      <c r="E626" s="20"/>
      <c r="F626" s="31">
        <f t="shared" si="92"/>
        <v>392000</v>
      </c>
      <c r="G626" s="20"/>
      <c r="H626" s="25">
        <v>0</v>
      </c>
      <c r="I626" s="20"/>
      <c r="J626" s="25">
        <v>77000</v>
      </c>
      <c r="K626" s="20"/>
      <c r="L626" s="25">
        <v>315000</v>
      </c>
      <c r="M626" s="20"/>
      <c r="N626" s="25">
        <v>238000</v>
      </c>
      <c r="O626" s="20"/>
      <c r="P626" s="25">
        <v>154000</v>
      </c>
      <c r="Q626" s="20"/>
      <c r="R626" s="25">
        <v>0</v>
      </c>
    </row>
    <row r="627" spans="1:18" x14ac:dyDescent="0.2">
      <c r="A627" s="20"/>
      <c r="B627" s="20"/>
      <c r="C627" s="20" t="s">
        <v>280</v>
      </c>
      <c r="D627" s="20"/>
      <c r="E627" s="20"/>
      <c r="F627" s="31">
        <f t="shared" si="92"/>
        <v>-101000</v>
      </c>
      <c r="G627" s="20"/>
      <c r="H627" s="25">
        <v>21000</v>
      </c>
      <c r="I627" s="20"/>
      <c r="J627" s="25">
        <v>-122000</v>
      </c>
      <c r="K627" s="20"/>
      <c r="L627" s="25">
        <v>0</v>
      </c>
      <c r="M627" s="20"/>
      <c r="N627" s="25">
        <v>12000</v>
      </c>
      <c r="O627" s="20"/>
      <c r="P627" s="25">
        <v>-113000</v>
      </c>
      <c r="Q627" s="20"/>
      <c r="R627" s="25">
        <v>0</v>
      </c>
    </row>
    <row r="628" spans="1:18" x14ac:dyDescent="0.2">
      <c r="A628" s="20"/>
      <c r="B628" s="20"/>
      <c r="C628" s="20" t="s">
        <v>281</v>
      </c>
      <c r="D628" s="20"/>
      <c r="E628" s="20"/>
      <c r="F628" s="31">
        <f t="shared" si="92"/>
        <v>-2000</v>
      </c>
      <c r="G628" s="20"/>
      <c r="H628" s="25">
        <v>-38000</v>
      </c>
      <c r="I628" s="20"/>
      <c r="J628" s="25">
        <v>56000</v>
      </c>
      <c r="K628" s="20"/>
      <c r="L628" s="25">
        <v>-20000</v>
      </c>
      <c r="M628" s="20"/>
      <c r="N628" s="25">
        <v>0</v>
      </c>
      <c r="O628" s="20"/>
      <c r="P628" s="25">
        <v>-2000</v>
      </c>
      <c r="Q628" s="20"/>
      <c r="R628" s="25">
        <v>0</v>
      </c>
    </row>
    <row r="629" spans="1:18" x14ac:dyDescent="0.2">
      <c r="A629" s="20"/>
      <c r="B629" s="20"/>
      <c r="C629" s="20" t="s">
        <v>282</v>
      </c>
      <c r="D629" s="20"/>
      <c r="E629" s="20"/>
      <c r="F629" s="31">
        <f t="shared" si="92"/>
        <v>3673000</v>
      </c>
      <c r="G629" s="20"/>
      <c r="H629" s="25">
        <v>115000</v>
      </c>
      <c r="I629" s="20"/>
      <c r="J629" s="25">
        <v>192000</v>
      </c>
      <c r="K629" s="20"/>
      <c r="L629" s="25">
        <v>3366000</v>
      </c>
      <c r="M629" s="20"/>
      <c r="N629" s="25">
        <v>1423000</v>
      </c>
      <c r="O629" s="20"/>
      <c r="P629" s="25">
        <v>2250000</v>
      </c>
      <c r="Q629" s="20"/>
      <c r="R629" s="25">
        <v>0</v>
      </c>
    </row>
    <row r="630" spans="1:18" x14ac:dyDescent="0.2">
      <c r="A630" s="20"/>
      <c r="B630" s="20"/>
      <c r="C630" s="20" t="s">
        <v>220</v>
      </c>
      <c r="D630" s="20"/>
      <c r="E630" s="20"/>
      <c r="F630" s="31">
        <f t="shared" si="92"/>
        <v>8524000</v>
      </c>
      <c r="G630" s="20"/>
      <c r="H630" s="25">
        <v>5000</v>
      </c>
      <c r="I630" s="20"/>
      <c r="J630" s="25">
        <v>327000</v>
      </c>
      <c r="K630" s="20"/>
      <c r="L630" s="25">
        <v>8192000</v>
      </c>
      <c r="M630" s="20"/>
      <c r="N630" s="25">
        <v>4535000</v>
      </c>
      <c r="O630" s="20"/>
      <c r="P630" s="25">
        <v>3989000</v>
      </c>
      <c r="Q630" s="20"/>
      <c r="R630" s="25">
        <v>0</v>
      </c>
    </row>
    <row r="631" spans="1:18" x14ac:dyDescent="0.2">
      <c r="A631" s="20"/>
      <c r="B631" s="20"/>
      <c r="C631" s="20" t="s">
        <v>221</v>
      </c>
      <c r="D631" s="20"/>
      <c r="E631" s="20"/>
      <c r="F631" s="31">
        <f t="shared" si="92"/>
        <v>213000</v>
      </c>
      <c r="G631" s="20"/>
      <c r="H631" s="25">
        <v>102000</v>
      </c>
      <c r="I631" s="20"/>
      <c r="J631" s="25">
        <v>84000</v>
      </c>
      <c r="K631" s="20"/>
      <c r="L631" s="25">
        <v>27000</v>
      </c>
      <c r="M631" s="20"/>
      <c r="N631" s="25">
        <v>130000</v>
      </c>
      <c r="O631" s="20"/>
      <c r="P631" s="25">
        <v>83000</v>
      </c>
      <c r="Q631" s="20"/>
      <c r="R631" s="25">
        <v>0</v>
      </c>
    </row>
    <row r="632" spans="1:18" x14ac:dyDescent="0.2">
      <c r="A632" s="20"/>
      <c r="B632" s="20"/>
      <c r="C632" s="20" t="s">
        <v>283</v>
      </c>
      <c r="D632" s="20"/>
      <c r="E632" s="20"/>
      <c r="F632" s="31">
        <f t="shared" si="92"/>
        <v>79000</v>
      </c>
      <c r="G632" s="20"/>
      <c r="H632" s="25">
        <v>0</v>
      </c>
      <c r="I632" s="20"/>
      <c r="J632" s="25">
        <v>0</v>
      </c>
      <c r="K632" s="20"/>
      <c r="L632" s="25">
        <v>79000</v>
      </c>
      <c r="M632" s="20"/>
      <c r="N632" s="25">
        <v>45000</v>
      </c>
      <c r="O632" s="20"/>
      <c r="P632" s="25">
        <v>34000</v>
      </c>
      <c r="Q632" s="20"/>
      <c r="R632" s="25">
        <v>0</v>
      </c>
    </row>
    <row r="633" spans="1:18" x14ac:dyDescent="0.2">
      <c r="A633" s="20"/>
      <c r="B633" s="20"/>
      <c r="C633" s="20" t="s">
        <v>284</v>
      </c>
      <c r="D633" s="20"/>
      <c r="E633" s="20"/>
      <c r="F633" s="31">
        <f t="shared" si="92"/>
        <v>0</v>
      </c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</row>
    <row r="634" spans="1:18" x14ac:dyDescent="0.2">
      <c r="A634" s="20"/>
      <c r="B634" s="20"/>
      <c r="C634" s="20"/>
      <c r="D634" s="20"/>
      <c r="E634" s="20" t="s">
        <v>285</v>
      </c>
      <c r="F634" s="31">
        <f t="shared" si="92"/>
        <v>658000</v>
      </c>
      <c r="G634" s="20"/>
      <c r="H634" s="25">
        <v>300000</v>
      </c>
      <c r="I634" s="20"/>
      <c r="J634" s="25">
        <v>299000</v>
      </c>
      <c r="K634" s="20"/>
      <c r="L634" s="25">
        <v>59000</v>
      </c>
      <c r="M634" s="20"/>
      <c r="N634" s="25">
        <v>388000</v>
      </c>
      <c r="O634" s="20"/>
      <c r="P634" s="25">
        <v>270000</v>
      </c>
      <c r="Q634" s="20"/>
      <c r="R634" s="25">
        <v>0</v>
      </c>
    </row>
    <row r="635" spans="1:18" x14ac:dyDescent="0.2">
      <c r="A635" s="20"/>
      <c r="B635" s="20"/>
      <c r="C635" s="20" t="s">
        <v>222</v>
      </c>
      <c r="D635" s="20"/>
      <c r="E635" s="20"/>
      <c r="F635" s="31">
        <f t="shared" si="92"/>
        <v>0</v>
      </c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</row>
    <row r="636" spans="1:18" x14ac:dyDescent="0.2">
      <c r="A636" s="20"/>
      <c r="B636" s="20"/>
      <c r="C636" s="20"/>
      <c r="D636" s="20"/>
      <c r="E636" s="20" t="s">
        <v>223</v>
      </c>
      <c r="F636" s="31">
        <f t="shared" si="92"/>
        <v>3798000</v>
      </c>
      <c r="G636" s="20"/>
      <c r="H636" s="25">
        <v>3000</v>
      </c>
      <c r="I636" s="20"/>
      <c r="J636" s="25">
        <v>172000</v>
      </c>
      <c r="K636" s="20"/>
      <c r="L636" s="25">
        <v>3623000</v>
      </c>
      <c r="M636" s="20"/>
      <c r="N636" s="25">
        <v>1894000</v>
      </c>
      <c r="O636" s="20"/>
      <c r="P636" s="25">
        <v>1904000</v>
      </c>
      <c r="Q636" s="20"/>
      <c r="R636" s="25">
        <v>0</v>
      </c>
    </row>
    <row r="637" spans="1:18" x14ac:dyDescent="0.2">
      <c r="A637" s="20"/>
      <c r="B637" s="20"/>
      <c r="C637" s="20" t="s">
        <v>224</v>
      </c>
      <c r="D637" s="20"/>
      <c r="E637" s="20"/>
      <c r="F637" s="31">
        <f t="shared" si="92"/>
        <v>881000</v>
      </c>
      <c r="G637" s="20"/>
      <c r="H637" s="25">
        <v>68000</v>
      </c>
      <c r="I637" s="20"/>
      <c r="J637" s="25">
        <v>-50000</v>
      </c>
      <c r="K637" s="20"/>
      <c r="L637" s="25">
        <v>863000</v>
      </c>
      <c r="M637" s="20"/>
      <c r="N637" s="25">
        <v>509000</v>
      </c>
      <c r="O637" s="20"/>
      <c r="P637" s="25">
        <v>372000</v>
      </c>
      <c r="Q637" s="20"/>
      <c r="R637" s="25">
        <v>0</v>
      </c>
    </row>
    <row r="638" spans="1:18" x14ac:dyDescent="0.2">
      <c r="A638" s="20"/>
      <c r="B638" s="20"/>
      <c r="C638" s="20" t="s">
        <v>225</v>
      </c>
      <c r="D638" s="20"/>
      <c r="E638" s="20"/>
      <c r="F638" s="31">
        <f t="shared" si="92"/>
        <v>5817000</v>
      </c>
      <c r="G638" s="20"/>
      <c r="H638" s="25">
        <v>1333000</v>
      </c>
      <c r="I638" s="20"/>
      <c r="J638" s="25">
        <v>253000</v>
      </c>
      <c r="K638" s="20"/>
      <c r="L638" s="25">
        <v>4231000</v>
      </c>
      <c r="M638" s="20"/>
      <c r="N638" s="25">
        <v>1919000</v>
      </c>
      <c r="O638" s="20"/>
      <c r="P638" s="25">
        <v>3903000</v>
      </c>
      <c r="Q638" s="20"/>
      <c r="R638" s="25">
        <v>5000</v>
      </c>
    </row>
    <row r="639" spans="1:18" x14ac:dyDescent="0.2">
      <c r="A639" s="20"/>
      <c r="B639" s="20"/>
      <c r="C639" s="20" t="s">
        <v>226</v>
      </c>
      <c r="D639" s="20"/>
      <c r="E639" s="20"/>
      <c r="F639" s="31">
        <f t="shared" si="92"/>
        <v>3657000</v>
      </c>
      <c r="G639" s="20"/>
      <c r="H639" s="25">
        <v>395000</v>
      </c>
      <c r="I639" s="20"/>
      <c r="J639" s="25">
        <v>116000</v>
      </c>
      <c r="K639" s="20"/>
      <c r="L639" s="25">
        <v>3146000</v>
      </c>
      <c r="M639" s="20"/>
      <c r="N639" s="25">
        <v>1731000</v>
      </c>
      <c r="O639" s="20"/>
      <c r="P639" s="25">
        <v>1926000</v>
      </c>
      <c r="Q639" s="20"/>
      <c r="R639" s="25">
        <v>0</v>
      </c>
    </row>
    <row r="640" spans="1:18" x14ac:dyDescent="0.2">
      <c r="A640" s="20"/>
      <c r="B640" s="20"/>
      <c r="C640" s="20" t="s">
        <v>286</v>
      </c>
      <c r="D640" s="20"/>
      <c r="E640" s="20"/>
      <c r="F640" s="31">
        <f t="shared" si="92"/>
        <v>9178000</v>
      </c>
      <c r="G640" s="20"/>
      <c r="H640" s="25">
        <v>3503000</v>
      </c>
      <c r="I640" s="20"/>
      <c r="J640" s="25">
        <v>742000</v>
      </c>
      <c r="K640" s="20"/>
      <c r="L640" s="25">
        <v>4933000</v>
      </c>
      <c r="M640" s="20"/>
      <c r="N640" s="25">
        <v>5347000</v>
      </c>
      <c r="O640" s="20"/>
      <c r="P640" s="25">
        <v>3832000</v>
      </c>
      <c r="Q640" s="20"/>
      <c r="R640" s="25">
        <v>1000</v>
      </c>
    </row>
    <row r="641" spans="1:18" x14ac:dyDescent="0.2">
      <c r="A641" s="20"/>
      <c r="B641" s="20"/>
      <c r="C641" s="20" t="s">
        <v>287</v>
      </c>
      <c r="D641" s="20"/>
      <c r="E641" s="20"/>
      <c r="F641" s="31">
        <f t="shared" si="92"/>
        <v>0</v>
      </c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</row>
    <row r="642" spans="1:18" x14ac:dyDescent="0.2">
      <c r="A642" s="20"/>
      <c r="B642" s="20"/>
      <c r="C642" s="20"/>
      <c r="D642" s="20"/>
      <c r="E642" s="20" t="s">
        <v>288</v>
      </c>
      <c r="F642" s="31">
        <f t="shared" si="92"/>
        <v>2524000</v>
      </c>
      <c r="G642" s="20"/>
      <c r="H642" s="25">
        <v>293000</v>
      </c>
      <c r="I642" s="20"/>
      <c r="J642" s="25">
        <v>204000</v>
      </c>
      <c r="K642" s="20"/>
      <c r="L642" s="25">
        <v>2027000</v>
      </c>
      <c r="M642" s="20"/>
      <c r="N642" s="25">
        <v>1252000</v>
      </c>
      <c r="O642" s="20"/>
      <c r="P642" s="25">
        <v>1272000</v>
      </c>
      <c r="Q642" s="20"/>
      <c r="R642" s="25">
        <v>0</v>
      </c>
    </row>
    <row r="643" spans="1:18" x14ac:dyDescent="0.2">
      <c r="A643" s="20"/>
      <c r="B643" s="20"/>
      <c r="C643" s="20" t="s">
        <v>227</v>
      </c>
      <c r="D643" s="20"/>
      <c r="E643" s="20"/>
      <c r="F643" s="31">
        <f t="shared" si="92"/>
        <v>0</v>
      </c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</row>
    <row r="644" spans="1:18" x14ac:dyDescent="0.2">
      <c r="A644" s="20"/>
      <c r="B644" s="20"/>
      <c r="C644" s="20"/>
      <c r="D644" s="20"/>
      <c r="E644" s="20" t="s">
        <v>51</v>
      </c>
      <c r="F644" s="31">
        <f t="shared" si="92"/>
        <v>3586000</v>
      </c>
      <c r="G644" s="20"/>
      <c r="H644" s="25">
        <v>276000</v>
      </c>
      <c r="I644" s="20"/>
      <c r="J644" s="25">
        <v>28000</v>
      </c>
      <c r="K644" s="20"/>
      <c r="L644" s="25">
        <v>3282000</v>
      </c>
      <c r="M644" s="20"/>
      <c r="N644" s="25">
        <v>1009000</v>
      </c>
      <c r="O644" s="20"/>
      <c r="P644" s="25">
        <v>2577000</v>
      </c>
      <c r="Q644" s="20"/>
      <c r="R644" s="25">
        <v>0</v>
      </c>
    </row>
    <row r="645" spans="1:18" x14ac:dyDescent="0.2">
      <c r="A645" s="20"/>
      <c r="B645" s="20"/>
      <c r="C645" s="20" t="s">
        <v>228</v>
      </c>
      <c r="D645" s="20"/>
      <c r="E645" s="20"/>
      <c r="F645" s="31">
        <f t="shared" si="92"/>
        <v>9679000</v>
      </c>
      <c r="G645" s="20"/>
      <c r="H645" s="25">
        <v>13000</v>
      </c>
      <c r="I645" s="20"/>
      <c r="J645" s="25">
        <v>1111000</v>
      </c>
      <c r="K645" s="20"/>
      <c r="L645" s="25">
        <v>8555000</v>
      </c>
      <c r="M645" s="20"/>
      <c r="N645" s="25">
        <v>4745000</v>
      </c>
      <c r="O645" s="20"/>
      <c r="P645" s="25">
        <v>4934000</v>
      </c>
      <c r="Q645" s="20"/>
      <c r="R645" s="25">
        <v>0</v>
      </c>
    </row>
    <row r="646" spans="1:18" x14ac:dyDescent="0.2">
      <c r="A646" s="20"/>
      <c r="B646" s="20"/>
      <c r="C646" s="20" t="s">
        <v>229</v>
      </c>
      <c r="D646" s="20"/>
      <c r="E646" s="20"/>
      <c r="F646" s="31">
        <f t="shared" si="92"/>
        <v>0</v>
      </c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</row>
    <row r="647" spans="1:18" x14ac:dyDescent="0.2">
      <c r="A647" s="20"/>
      <c r="B647" s="20"/>
      <c r="C647" s="20"/>
      <c r="D647" s="20"/>
      <c r="E647" s="20" t="s">
        <v>230</v>
      </c>
      <c r="F647" s="31">
        <f t="shared" si="92"/>
        <v>2213000</v>
      </c>
      <c r="G647" s="20"/>
      <c r="H647" s="25">
        <v>140000</v>
      </c>
      <c r="I647" s="20"/>
      <c r="J647" s="25">
        <v>138000</v>
      </c>
      <c r="K647" s="20"/>
      <c r="L647" s="25">
        <v>1935000</v>
      </c>
      <c r="M647" s="20"/>
      <c r="N647" s="25">
        <v>1247000</v>
      </c>
      <c r="O647" s="20"/>
      <c r="P647" s="25">
        <v>966000</v>
      </c>
      <c r="Q647" s="20"/>
      <c r="R647" s="25">
        <v>0</v>
      </c>
    </row>
    <row r="648" spans="1:18" x14ac:dyDescent="0.2">
      <c r="A648" s="20"/>
      <c r="B648" s="20"/>
      <c r="C648" s="20" t="s">
        <v>231</v>
      </c>
      <c r="D648" s="20"/>
      <c r="E648" s="20"/>
      <c r="F648" s="31">
        <f t="shared" si="92"/>
        <v>141000</v>
      </c>
      <c r="G648" s="20"/>
      <c r="H648" s="25">
        <v>0</v>
      </c>
      <c r="I648" s="20"/>
      <c r="J648" s="25">
        <v>3000</v>
      </c>
      <c r="K648" s="20"/>
      <c r="L648" s="25">
        <v>138000</v>
      </c>
      <c r="M648" s="20"/>
      <c r="N648" s="25">
        <v>86000</v>
      </c>
      <c r="O648" s="20"/>
      <c r="P648" s="25">
        <v>55000</v>
      </c>
      <c r="Q648" s="20"/>
      <c r="R648" s="25">
        <v>0</v>
      </c>
    </row>
    <row r="649" spans="1:18" x14ac:dyDescent="0.2">
      <c r="A649" s="20"/>
      <c r="B649" s="20"/>
      <c r="C649" s="20" t="s">
        <v>289</v>
      </c>
      <c r="D649" s="20"/>
      <c r="E649" s="20"/>
      <c r="F649" s="31">
        <f t="shared" si="92"/>
        <v>0</v>
      </c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</row>
    <row r="650" spans="1:18" x14ac:dyDescent="0.2">
      <c r="A650" s="20"/>
      <c r="B650" s="20"/>
      <c r="C650" s="20"/>
      <c r="D650" s="20"/>
      <c r="E650" s="20" t="s">
        <v>290</v>
      </c>
      <c r="F650" s="31">
        <f t="shared" ref="F650:F675" si="93">SUM(H650:L650)</f>
        <v>2965000</v>
      </c>
      <c r="G650" s="20"/>
      <c r="H650" s="25">
        <v>0</v>
      </c>
      <c r="I650" s="20"/>
      <c r="J650" s="25">
        <v>1000</v>
      </c>
      <c r="K650" s="20"/>
      <c r="L650" s="25">
        <v>2964000</v>
      </c>
      <c r="M650" s="20"/>
      <c r="N650" s="25">
        <v>2044000</v>
      </c>
      <c r="O650" s="20"/>
      <c r="P650" s="25">
        <v>921000</v>
      </c>
      <c r="Q650" s="20"/>
      <c r="R650" s="25">
        <v>0</v>
      </c>
    </row>
    <row r="651" spans="1:18" x14ac:dyDescent="0.2">
      <c r="A651" s="20"/>
      <c r="B651" s="20"/>
      <c r="C651" s="20" t="s">
        <v>232</v>
      </c>
      <c r="D651" s="20"/>
      <c r="E651" s="20"/>
      <c r="F651" s="31">
        <f t="shared" si="93"/>
        <v>1091000</v>
      </c>
      <c r="G651" s="20"/>
      <c r="H651" s="25">
        <v>14000</v>
      </c>
      <c r="I651" s="20"/>
      <c r="J651" s="25">
        <v>5000</v>
      </c>
      <c r="K651" s="20"/>
      <c r="L651" s="25">
        <v>1072000</v>
      </c>
      <c r="M651" s="20"/>
      <c r="N651" s="25">
        <v>548000</v>
      </c>
      <c r="O651" s="20"/>
      <c r="P651" s="25">
        <v>543000</v>
      </c>
      <c r="Q651" s="20"/>
      <c r="R651" s="25">
        <v>0</v>
      </c>
    </row>
    <row r="652" spans="1:18" x14ac:dyDescent="0.2">
      <c r="A652" s="20"/>
      <c r="B652" s="20"/>
      <c r="C652" s="20" t="s">
        <v>233</v>
      </c>
      <c r="D652" s="20"/>
      <c r="E652" s="20"/>
      <c r="F652" s="31">
        <f t="shared" si="93"/>
        <v>1592000</v>
      </c>
      <c r="G652" s="20"/>
      <c r="H652" s="25">
        <v>0</v>
      </c>
      <c r="I652" s="20"/>
      <c r="J652" s="25">
        <v>166000</v>
      </c>
      <c r="K652" s="20"/>
      <c r="L652" s="25">
        <v>1426000</v>
      </c>
      <c r="M652" s="20"/>
      <c r="N652" s="25">
        <v>580000</v>
      </c>
      <c r="O652" s="20"/>
      <c r="P652" s="25">
        <v>1112000</v>
      </c>
      <c r="Q652" s="20"/>
      <c r="R652" s="25">
        <v>100000</v>
      </c>
    </row>
    <row r="653" spans="1:18" x14ac:dyDescent="0.2">
      <c r="A653" s="20"/>
      <c r="B653" s="20"/>
      <c r="C653" s="20" t="s">
        <v>291</v>
      </c>
      <c r="D653" s="20"/>
      <c r="E653" s="20"/>
      <c r="F653" s="31">
        <f t="shared" si="93"/>
        <v>0</v>
      </c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</row>
    <row r="654" spans="1:18" x14ac:dyDescent="0.2">
      <c r="A654" s="20"/>
      <c r="B654" s="20"/>
      <c r="C654" s="20"/>
      <c r="D654" s="20"/>
      <c r="E654" s="20" t="s">
        <v>292</v>
      </c>
      <c r="F654" s="31">
        <f t="shared" si="93"/>
        <v>119000</v>
      </c>
      <c r="G654" s="20"/>
      <c r="H654" s="25">
        <v>0</v>
      </c>
      <c r="I654" s="20"/>
      <c r="J654" s="25">
        <v>69000</v>
      </c>
      <c r="K654" s="20"/>
      <c r="L654" s="25">
        <v>50000</v>
      </c>
      <c r="M654" s="20"/>
      <c r="N654" s="25">
        <v>63000</v>
      </c>
      <c r="O654" s="20"/>
      <c r="P654" s="25">
        <v>56000</v>
      </c>
      <c r="Q654" s="20"/>
      <c r="R654" s="25">
        <v>0</v>
      </c>
    </row>
    <row r="655" spans="1:18" x14ac:dyDescent="0.2">
      <c r="A655" s="20"/>
      <c r="B655" s="20"/>
      <c r="C655" s="20" t="s">
        <v>293</v>
      </c>
      <c r="D655" s="20"/>
      <c r="E655" s="20"/>
      <c r="F655" s="31">
        <f t="shared" si="93"/>
        <v>215000</v>
      </c>
      <c r="G655" s="20"/>
      <c r="H655" s="25">
        <v>100000</v>
      </c>
      <c r="I655" s="20"/>
      <c r="J655" s="25">
        <v>59000</v>
      </c>
      <c r="K655" s="20"/>
      <c r="L655" s="25">
        <v>56000</v>
      </c>
      <c r="M655" s="20"/>
      <c r="N655" s="25">
        <v>141000</v>
      </c>
      <c r="O655" s="20"/>
      <c r="P655" s="25">
        <v>74000</v>
      </c>
      <c r="Q655" s="20"/>
      <c r="R655" s="25">
        <v>0</v>
      </c>
    </row>
    <row r="656" spans="1:18" x14ac:dyDescent="0.2">
      <c r="A656" s="20"/>
      <c r="B656" s="20"/>
      <c r="C656" s="20" t="s">
        <v>234</v>
      </c>
      <c r="D656" s="20"/>
      <c r="E656" s="20"/>
      <c r="F656" s="31">
        <f t="shared" si="93"/>
        <v>2170000</v>
      </c>
      <c r="G656" s="20"/>
      <c r="H656" s="25">
        <v>-11431000</v>
      </c>
      <c r="I656" s="20"/>
      <c r="J656" s="25">
        <v>12432000</v>
      </c>
      <c r="K656" s="20"/>
      <c r="L656" s="25">
        <v>1169000</v>
      </c>
      <c r="M656" s="20"/>
      <c r="N656" s="25">
        <v>435000</v>
      </c>
      <c r="O656" s="20"/>
      <c r="P656" s="25">
        <v>1740000</v>
      </c>
      <c r="Q656" s="20"/>
      <c r="R656" s="25">
        <v>5000</v>
      </c>
    </row>
    <row r="657" spans="1:18" x14ac:dyDescent="0.2">
      <c r="A657" s="20"/>
      <c r="B657" s="20"/>
      <c r="C657" s="20" t="s">
        <v>294</v>
      </c>
      <c r="D657" s="20"/>
      <c r="E657" s="20"/>
      <c r="F657" s="31">
        <f t="shared" si="93"/>
        <v>0</v>
      </c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</row>
    <row r="658" spans="1:18" x14ac:dyDescent="0.2">
      <c r="A658" s="20"/>
      <c r="B658" s="20"/>
      <c r="C658" s="20" t="s">
        <v>235</v>
      </c>
      <c r="D658" s="20"/>
      <c r="E658" s="20"/>
      <c r="F658" s="31">
        <f t="shared" si="93"/>
        <v>28000</v>
      </c>
      <c r="G658" s="20"/>
      <c r="H658" s="25">
        <v>0</v>
      </c>
      <c r="I658" s="20"/>
      <c r="J658" s="25">
        <v>25000</v>
      </c>
      <c r="K658" s="20"/>
      <c r="L658" s="25">
        <v>3000</v>
      </c>
      <c r="M658" s="20"/>
      <c r="N658" s="25">
        <v>9000</v>
      </c>
      <c r="O658" s="20"/>
      <c r="P658" s="25">
        <v>19000</v>
      </c>
      <c r="Q658" s="20"/>
      <c r="R658" s="25">
        <v>0</v>
      </c>
    </row>
    <row r="659" spans="1:18" x14ac:dyDescent="0.2">
      <c r="A659" s="20"/>
      <c r="B659" s="20"/>
      <c r="C659" s="20" t="s">
        <v>295</v>
      </c>
      <c r="D659" s="20"/>
      <c r="E659" s="20"/>
      <c r="F659" s="31">
        <f t="shared" si="93"/>
        <v>3439000</v>
      </c>
      <c r="G659" s="20"/>
      <c r="H659" s="25">
        <v>753000</v>
      </c>
      <c r="I659" s="20"/>
      <c r="J659" s="25">
        <v>0</v>
      </c>
      <c r="K659" s="20"/>
      <c r="L659" s="25">
        <v>2686000</v>
      </c>
      <c r="M659" s="20"/>
      <c r="N659" s="25">
        <v>1222000</v>
      </c>
      <c r="O659" s="20"/>
      <c r="P659" s="25">
        <v>2217000</v>
      </c>
      <c r="Q659" s="20"/>
      <c r="R659" s="25">
        <v>0</v>
      </c>
    </row>
    <row r="660" spans="1:18" x14ac:dyDescent="0.2">
      <c r="A660" s="20"/>
      <c r="B660" s="20"/>
      <c r="C660" s="20" t="s">
        <v>296</v>
      </c>
      <c r="D660" s="20"/>
      <c r="E660" s="20"/>
      <c r="F660" s="31">
        <f t="shared" si="93"/>
        <v>2040000</v>
      </c>
      <c r="G660" s="20"/>
      <c r="H660" s="25">
        <v>881000</v>
      </c>
      <c r="I660" s="20"/>
      <c r="J660" s="25">
        <v>1159000</v>
      </c>
      <c r="K660" s="20"/>
      <c r="L660" s="25">
        <v>0</v>
      </c>
      <c r="M660" s="20"/>
      <c r="N660" s="25">
        <v>807000</v>
      </c>
      <c r="O660" s="20"/>
      <c r="P660" s="25">
        <v>1233000</v>
      </c>
      <c r="Q660" s="20"/>
      <c r="R660" s="25">
        <v>0</v>
      </c>
    </row>
    <row r="661" spans="1:18" x14ac:dyDescent="0.2">
      <c r="A661" s="20"/>
      <c r="B661" s="20"/>
      <c r="C661" s="20" t="s">
        <v>297</v>
      </c>
      <c r="D661" s="20"/>
      <c r="E661" s="20"/>
      <c r="F661" s="31">
        <f t="shared" si="93"/>
        <v>0</v>
      </c>
      <c r="G661" s="20"/>
      <c r="H661" s="25">
        <v>0</v>
      </c>
      <c r="I661" s="20"/>
      <c r="J661" s="25">
        <v>0</v>
      </c>
      <c r="K661" s="20"/>
      <c r="L661" s="25">
        <v>0</v>
      </c>
      <c r="M661" s="20"/>
      <c r="N661" s="25">
        <v>0</v>
      </c>
      <c r="O661" s="20"/>
      <c r="P661" s="25">
        <v>0</v>
      </c>
      <c r="Q661" s="20"/>
      <c r="R661" s="25">
        <v>0</v>
      </c>
    </row>
    <row r="662" spans="1:18" x14ac:dyDescent="0.2">
      <c r="A662" s="20"/>
      <c r="B662" s="20"/>
      <c r="C662" s="20" t="s">
        <v>298</v>
      </c>
      <c r="D662" s="20"/>
      <c r="E662" s="20"/>
      <c r="F662" s="31">
        <f t="shared" si="93"/>
        <v>4701000</v>
      </c>
      <c r="G662" s="20"/>
      <c r="H662" s="25">
        <v>85000</v>
      </c>
      <c r="I662" s="20"/>
      <c r="J662" s="25">
        <v>74000</v>
      </c>
      <c r="K662" s="20"/>
      <c r="L662" s="25">
        <v>4542000</v>
      </c>
      <c r="M662" s="20"/>
      <c r="N662" s="25">
        <v>2181000</v>
      </c>
      <c r="O662" s="20"/>
      <c r="P662" s="25">
        <v>2520000</v>
      </c>
      <c r="Q662" s="20"/>
      <c r="R662" s="25">
        <v>0</v>
      </c>
    </row>
    <row r="663" spans="1:18" x14ac:dyDescent="0.2">
      <c r="A663" s="20"/>
      <c r="B663" s="20"/>
      <c r="C663" s="20" t="s">
        <v>236</v>
      </c>
      <c r="D663" s="20"/>
      <c r="E663" s="20"/>
      <c r="F663" s="31">
        <f t="shared" si="93"/>
        <v>41101000</v>
      </c>
      <c r="G663" s="20"/>
      <c r="H663" s="25">
        <v>557000</v>
      </c>
      <c r="I663" s="20"/>
      <c r="J663" s="25">
        <v>886000</v>
      </c>
      <c r="K663" s="20"/>
      <c r="L663" s="25">
        <v>39658000</v>
      </c>
      <c r="M663" s="20"/>
      <c r="N663" s="25">
        <v>18785000</v>
      </c>
      <c r="O663" s="20"/>
      <c r="P663" s="25">
        <v>22480000</v>
      </c>
      <c r="Q663" s="20"/>
      <c r="R663" s="25">
        <v>164000</v>
      </c>
    </row>
    <row r="664" spans="1:18" x14ac:dyDescent="0.2">
      <c r="A664" s="20"/>
      <c r="B664" s="20"/>
      <c r="C664" s="20" t="s">
        <v>237</v>
      </c>
      <c r="D664" s="20"/>
      <c r="E664" s="20"/>
      <c r="F664" s="31">
        <f t="shared" si="93"/>
        <v>185000</v>
      </c>
      <c r="G664" s="20"/>
      <c r="H664" s="25">
        <v>0</v>
      </c>
      <c r="I664" s="20"/>
      <c r="J664" s="25">
        <v>0</v>
      </c>
      <c r="K664" s="20"/>
      <c r="L664" s="25">
        <v>185000</v>
      </c>
      <c r="M664" s="20"/>
      <c r="N664" s="25">
        <v>99000</v>
      </c>
      <c r="O664" s="20"/>
      <c r="P664" s="25">
        <v>86000</v>
      </c>
      <c r="Q664" s="20"/>
      <c r="R664" s="25">
        <v>0</v>
      </c>
    </row>
    <row r="665" spans="1:18" x14ac:dyDescent="0.2">
      <c r="A665" s="20"/>
      <c r="B665" s="20"/>
      <c r="C665" s="20" t="s">
        <v>238</v>
      </c>
      <c r="D665" s="20"/>
      <c r="E665" s="20"/>
      <c r="F665" s="31">
        <f t="shared" si="93"/>
        <v>253000</v>
      </c>
      <c r="G665" s="20"/>
      <c r="H665" s="25">
        <v>2000</v>
      </c>
      <c r="I665" s="20"/>
      <c r="J665" s="25">
        <v>9000</v>
      </c>
      <c r="K665" s="20"/>
      <c r="L665" s="25">
        <v>242000</v>
      </c>
      <c r="M665" s="20"/>
      <c r="N665" s="25">
        <v>140000</v>
      </c>
      <c r="O665" s="20"/>
      <c r="P665" s="25">
        <v>116000</v>
      </c>
      <c r="Q665" s="20"/>
      <c r="R665" s="25">
        <v>3000</v>
      </c>
    </row>
    <row r="666" spans="1:18" x14ac:dyDescent="0.2">
      <c r="A666" s="20"/>
      <c r="B666" s="20"/>
      <c r="C666" s="20" t="s">
        <v>239</v>
      </c>
      <c r="D666" s="20"/>
      <c r="E666" s="20"/>
      <c r="F666" s="31">
        <f t="shared" si="93"/>
        <v>183000</v>
      </c>
      <c r="G666" s="20"/>
      <c r="H666" s="25">
        <v>32000</v>
      </c>
      <c r="I666" s="20"/>
      <c r="J666" s="25">
        <v>61000</v>
      </c>
      <c r="K666" s="20"/>
      <c r="L666" s="25">
        <v>90000</v>
      </c>
      <c r="M666" s="20"/>
      <c r="N666" s="25">
        <v>135000</v>
      </c>
      <c r="O666" s="20"/>
      <c r="P666" s="25">
        <v>48000</v>
      </c>
      <c r="Q666" s="20"/>
      <c r="R666" s="25">
        <v>0</v>
      </c>
    </row>
    <row r="667" spans="1:18" x14ac:dyDescent="0.2">
      <c r="A667" s="20"/>
      <c r="B667" s="20"/>
      <c r="C667" s="20" t="s">
        <v>299</v>
      </c>
      <c r="D667" s="20"/>
      <c r="E667" s="20"/>
      <c r="F667" s="31">
        <f t="shared" si="93"/>
        <v>2812000</v>
      </c>
      <c r="G667" s="20"/>
      <c r="H667" s="25">
        <v>0</v>
      </c>
      <c r="I667" s="20"/>
      <c r="J667" s="25">
        <v>0</v>
      </c>
      <c r="K667" s="20"/>
      <c r="L667" s="25">
        <v>2812000</v>
      </c>
      <c r="M667" s="20"/>
      <c r="N667" s="25">
        <v>1347000</v>
      </c>
      <c r="O667" s="20"/>
      <c r="P667" s="25">
        <v>1465000</v>
      </c>
      <c r="Q667" s="20"/>
      <c r="R667" s="25">
        <v>0</v>
      </c>
    </row>
    <row r="668" spans="1:18" x14ac:dyDescent="0.2">
      <c r="A668" s="20"/>
      <c r="B668" s="20"/>
      <c r="C668" s="20" t="s">
        <v>300</v>
      </c>
      <c r="D668" s="20"/>
      <c r="E668" s="20"/>
      <c r="F668" s="31">
        <f t="shared" si="93"/>
        <v>16000</v>
      </c>
      <c r="G668" s="20"/>
      <c r="H668" s="25">
        <v>0</v>
      </c>
      <c r="I668" s="20"/>
      <c r="J668" s="25">
        <v>-1000</v>
      </c>
      <c r="K668" s="20"/>
      <c r="L668" s="25">
        <v>17000</v>
      </c>
      <c r="M668" s="20"/>
      <c r="N668" s="25">
        <v>12000</v>
      </c>
      <c r="O668" s="20"/>
      <c r="P668" s="25">
        <v>7000</v>
      </c>
      <c r="Q668" s="20"/>
      <c r="R668" s="25">
        <v>3000</v>
      </c>
    </row>
    <row r="669" spans="1:18" x14ac:dyDescent="0.2">
      <c r="A669" s="20"/>
      <c r="B669" s="20"/>
      <c r="C669" s="20" t="s">
        <v>301</v>
      </c>
      <c r="D669" s="20"/>
      <c r="E669" s="20"/>
      <c r="F669" s="31">
        <f t="shared" si="93"/>
        <v>0</v>
      </c>
      <c r="G669" s="20"/>
      <c r="H669" s="25">
        <v>0</v>
      </c>
      <c r="I669" s="20"/>
      <c r="J669" s="25">
        <v>0</v>
      </c>
      <c r="K669" s="20"/>
      <c r="L669" s="25">
        <v>0</v>
      </c>
      <c r="M669" s="20"/>
      <c r="N669" s="25">
        <v>0</v>
      </c>
      <c r="O669" s="20"/>
      <c r="P669" s="25">
        <v>0</v>
      </c>
      <c r="Q669" s="20"/>
      <c r="R669" s="25">
        <v>0</v>
      </c>
    </row>
    <row r="670" spans="1:18" x14ac:dyDescent="0.2">
      <c r="A670" s="20"/>
      <c r="B670" s="20"/>
      <c r="C670" s="20" t="s">
        <v>302</v>
      </c>
      <c r="D670" s="20"/>
      <c r="E670" s="20"/>
      <c r="F670" s="31">
        <f t="shared" si="93"/>
        <v>809000</v>
      </c>
      <c r="G670" s="20"/>
      <c r="H670" s="25">
        <v>23000</v>
      </c>
      <c r="I670" s="20"/>
      <c r="J670" s="25">
        <v>36000</v>
      </c>
      <c r="K670" s="20"/>
      <c r="L670" s="25">
        <v>750000</v>
      </c>
      <c r="M670" s="20"/>
      <c r="N670" s="25">
        <v>481000</v>
      </c>
      <c r="O670" s="20"/>
      <c r="P670" s="25">
        <v>328000</v>
      </c>
      <c r="Q670" s="20"/>
      <c r="R670" s="25">
        <v>0</v>
      </c>
    </row>
    <row r="671" spans="1:18" x14ac:dyDescent="0.2">
      <c r="A671" s="20"/>
      <c r="B671" s="20"/>
      <c r="C671" s="20" t="s">
        <v>303</v>
      </c>
      <c r="D671" s="20"/>
      <c r="E671" s="20"/>
      <c r="F671" s="31">
        <f t="shared" si="93"/>
        <v>1079000</v>
      </c>
      <c r="G671" s="20"/>
      <c r="H671" s="25">
        <v>117000</v>
      </c>
      <c r="I671" s="20"/>
      <c r="J671" s="25">
        <v>42000</v>
      </c>
      <c r="K671" s="20"/>
      <c r="L671" s="25">
        <v>920000</v>
      </c>
      <c r="M671" s="20"/>
      <c r="N671" s="25">
        <v>413000</v>
      </c>
      <c r="O671" s="20"/>
      <c r="P671" s="25">
        <v>669000</v>
      </c>
      <c r="Q671" s="20"/>
      <c r="R671" s="25">
        <v>3000</v>
      </c>
    </row>
    <row r="672" spans="1:18" x14ac:dyDescent="0.2">
      <c r="A672" s="20"/>
      <c r="B672" s="20"/>
      <c r="C672" s="20" t="s">
        <v>241</v>
      </c>
      <c r="D672" s="20"/>
      <c r="E672" s="20"/>
      <c r="F672" s="31">
        <f t="shared" si="93"/>
        <v>1658000</v>
      </c>
      <c r="G672" s="20"/>
      <c r="H672" s="25">
        <v>57000</v>
      </c>
      <c r="I672" s="20"/>
      <c r="J672" s="25">
        <v>1186000</v>
      </c>
      <c r="K672" s="20"/>
      <c r="L672" s="25">
        <v>415000</v>
      </c>
      <c r="M672" s="20"/>
      <c r="N672" s="25">
        <v>916000</v>
      </c>
      <c r="O672" s="20"/>
      <c r="P672" s="25">
        <v>753000</v>
      </c>
      <c r="Q672" s="20"/>
      <c r="R672" s="25">
        <v>11000</v>
      </c>
    </row>
    <row r="673" spans="1:18" x14ac:dyDescent="0.2">
      <c r="A673" s="20"/>
      <c r="B673" s="20"/>
      <c r="C673" s="20" t="s">
        <v>242</v>
      </c>
      <c r="D673" s="20"/>
      <c r="E673" s="20"/>
      <c r="F673" s="31">
        <f t="shared" si="93"/>
        <v>0</v>
      </c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>
        <v>0</v>
      </c>
    </row>
    <row r="674" spans="1:18" x14ac:dyDescent="0.2">
      <c r="A674" s="20"/>
      <c r="B674" s="20"/>
      <c r="C674" s="20" t="s">
        <v>272</v>
      </c>
      <c r="D674" s="20"/>
      <c r="E674" s="20" t="s">
        <v>243</v>
      </c>
      <c r="F674" s="31">
        <f t="shared" si="93"/>
        <v>485000</v>
      </c>
      <c r="G674" s="20"/>
      <c r="H674" s="25">
        <v>40000</v>
      </c>
      <c r="I674" s="20"/>
      <c r="J674" s="25">
        <v>365000</v>
      </c>
      <c r="K674" s="20"/>
      <c r="L674" s="25">
        <v>80000</v>
      </c>
      <c r="M674" s="20"/>
      <c r="N674" s="25">
        <v>199000</v>
      </c>
      <c r="O674" s="20"/>
      <c r="P674" s="25">
        <v>286000</v>
      </c>
      <c r="Q674" s="20"/>
      <c r="R674" s="25">
        <v>0</v>
      </c>
    </row>
    <row r="675" spans="1:18" x14ac:dyDescent="0.2">
      <c r="A675" s="20"/>
      <c r="B675" s="20"/>
      <c r="C675" s="20" t="s">
        <v>244</v>
      </c>
      <c r="D675" s="20"/>
      <c r="E675" s="20"/>
      <c r="F675" s="28">
        <f t="shared" si="93"/>
        <v>-170000</v>
      </c>
      <c r="G675" s="20"/>
      <c r="H675" s="27">
        <v>42000</v>
      </c>
      <c r="I675" s="20"/>
      <c r="J675" s="27">
        <v>1311000</v>
      </c>
      <c r="K675" s="20"/>
      <c r="L675" s="27">
        <v>-1523000</v>
      </c>
      <c r="M675" s="20"/>
      <c r="N675" s="27">
        <v>-138000</v>
      </c>
      <c r="O675" s="20"/>
      <c r="P675" s="27">
        <v>-32000</v>
      </c>
      <c r="Q675" s="20"/>
      <c r="R675" s="27">
        <v>0</v>
      </c>
    </row>
    <row r="676" spans="1:18" x14ac:dyDescent="0.2">
      <c r="A676" s="20"/>
      <c r="B676" s="20"/>
      <c r="C676" s="20"/>
      <c r="D676" s="20"/>
      <c r="E676" s="20"/>
      <c r="F676" s="21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</row>
    <row r="677" spans="1:18" x14ac:dyDescent="0.2">
      <c r="A677" s="20"/>
      <c r="B677" s="20"/>
      <c r="C677" s="20"/>
      <c r="D677" s="20"/>
      <c r="E677" s="20" t="s">
        <v>3</v>
      </c>
      <c r="F677" s="28">
        <f>SUM(F586:F676)</f>
        <v>202925000</v>
      </c>
      <c r="G677" s="27">
        <f t="shared" ref="G677:R677" si="94">SUM(G586:G676)</f>
        <v>0</v>
      </c>
      <c r="H677" s="27">
        <f t="shared" si="94"/>
        <v>3044000</v>
      </c>
      <c r="I677" s="27">
        <f t="shared" si="94"/>
        <v>0</v>
      </c>
      <c r="J677" s="27">
        <f t="shared" si="94"/>
        <v>29022000</v>
      </c>
      <c r="K677" s="27">
        <f t="shared" si="94"/>
        <v>0</v>
      </c>
      <c r="L677" s="27">
        <f t="shared" si="94"/>
        <v>170859000</v>
      </c>
      <c r="M677" s="27">
        <f t="shared" si="94"/>
        <v>0</v>
      </c>
      <c r="N677" s="27">
        <f t="shared" si="94"/>
        <v>93822000</v>
      </c>
      <c r="O677" s="27">
        <f t="shared" si="94"/>
        <v>0</v>
      </c>
      <c r="P677" s="27">
        <f t="shared" si="94"/>
        <v>110895000</v>
      </c>
      <c r="Q677" s="27">
        <f t="shared" si="94"/>
        <v>0</v>
      </c>
      <c r="R677" s="27">
        <f t="shared" si="94"/>
        <v>1792000</v>
      </c>
    </row>
    <row r="678" spans="1:18" x14ac:dyDescent="0.2">
      <c r="A678" s="20"/>
      <c r="B678" s="20"/>
      <c r="C678" s="20"/>
      <c r="D678" s="20"/>
      <c r="E678" s="20"/>
      <c r="F678" s="21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</row>
    <row r="679" spans="1:18" x14ac:dyDescent="0.2">
      <c r="A679" s="20"/>
      <c r="B679" s="20" t="s">
        <v>28</v>
      </c>
      <c r="C679" s="20"/>
      <c r="D679" s="20"/>
      <c r="E679" s="20"/>
      <c r="F679" s="21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</row>
    <row r="680" spans="1:18" x14ac:dyDescent="0.2">
      <c r="A680" s="20"/>
      <c r="B680" s="20"/>
      <c r="C680" s="20" t="s">
        <v>304</v>
      </c>
      <c r="D680" s="20"/>
      <c r="E680" s="20"/>
      <c r="F680" s="31">
        <f t="shared" ref="F680:F711" si="95">SUM(H680:L680)</f>
        <v>9748000</v>
      </c>
      <c r="G680" s="20"/>
      <c r="H680" s="25">
        <v>1522000</v>
      </c>
      <c r="I680" s="20"/>
      <c r="J680" s="25">
        <v>2061000</v>
      </c>
      <c r="K680" s="20"/>
      <c r="L680" s="25">
        <v>6165000</v>
      </c>
      <c r="M680" s="20"/>
      <c r="N680" s="25">
        <v>4438000</v>
      </c>
      <c r="O680" s="20"/>
      <c r="P680" s="25">
        <v>5310000</v>
      </c>
      <c r="Q680" s="20"/>
      <c r="R680" s="25">
        <v>0</v>
      </c>
    </row>
    <row r="681" spans="1:18" x14ac:dyDescent="0.2">
      <c r="A681" s="20"/>
      <c r="B681" s="20"/>
      <c r="C681" s="20" t="s">
        <v>305</v>
      </c>
      <c r="D681" s="20"/>
      <c r="E681" s="20"/>
      <c r="F681" s="31">
        <f t="shared" si="95"/>
        <v>0</v>
      </c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</row>
    <row r="682" spans="1:18" x14ac:dyDescent="0.2">
      <c r="A682" s="20"/>
      <c r="B682" s="20"/>
      <c r="C682" s="20"/>
      <c r="D682" s="20"/>
      <c r="E682" s="20" t="s">
        <v>306</v>
      </c>
      <c r="F682" s="31">
        <f t="shared" si="95"/>
        <v>3447000</v>
      </c>
      <c r="G682" s="20"/>
      <c r="H682" s="25">
        <v>566000</v>
      </c>
      <c r="I682" s="20"/>
      <c r="J682" s="25">
        <v>2125000</v>
      </c>
      <c r="K682" s="20"/>
      <c r="L682" s="25">
        <v>756000</v>
      </c>
      <c r="M682" s="20"/>
      <c r="N682" s="25">
        <v>1709000</v>
      </c>
      <c r="O682" s="20"/>
      <c r="P682" s="25">
        <v>1738000</v>
      </c>
      <c r="Q682" s="20"/>
      <c r="R682" s="25">
        <v>0</v>
      </c>
    </row>
    <row r="683" spans="1:18" x14ac:dyDescent="0.2">
      <c r="A683" s="20"/>
      <c r="B683" s="20"/>
      <c r="C683" s="20" t="s">
        <v>307</v>
      </c>
      <c r="D683" s="20"/>
      <c r="E683" s="20"/>
      <c r="F683" s="31">
        <f t="shared" si="95"/>
        <v>9808000</v>
      </c>
      <c r="G683" s="20"/>
      <c r="H683" s="25">
        <v>-120000</v>
      </c>
      <c r="I683" s="20"/>
      <c r="J683" s="25">
        <v>3486000</v>
      </c>
      <c r="K683" s="20"/>
      <c r="L683" s="25">
        <v>6442000</v>
      </c>
      <c r="M683" s="20"/>
      <c r="N683" s="25">
        <v>4631000</v>
      </c>
      <c r="O683" s="20"/>
      <c r="P683" s="25">
        <v>5177000</v>
      </c>
      <c r="Q683" s="20"/>
      <c r="R683" s="25">
        <v>0</v>
      </c>
    </row>
    <row r="684" spans="1:18" x14ac:dyDescent="0.2">
      <c r="A684" s="20"/>
      <c r="B684" s="20"/>
      <c r="C684" s="20" t="s">
        <v>211</v>
      </c>
      <c r="D684" s="20"/>
      <c r="E684" s="20"/>
      <c r="F684" s="31">
        <f t="shared" si="95"/>
        <v>0</v>
      </c>
      <c r="G684" s="20"/>
      <c r="H684" s="25">
        <v>0</v>
      </c>
      <c r="I684" s="20"/>
      <c r="J684" s="25">
        <v>0</v>
      </c>
      <c r="K684" s="20"/>
      <c r="L684" s="25">
        <v>0</v>
      </c>
      <c r="M684" s="20"/>
      <c r="N684" s="25">
        <v>0</v>
      </c>
      <c r="O684" s="20"/>
      <c r="P684" s="25">
        <v>0</v>
      </c>
      <c r="Q684" s="20"/>
      <c r="R684" s="25">
        <v>0</v>
      </c>
    </row>
    <row r="685" spans="1:18" x14ac:dyDescent="0.2">
      <c r="A685" s="20"/>
      <c r="B685" s="20"/>
      <c r="C685" s="20" t="s">
        <v>308</v>
      </c>
      <c r="D685" s="20"/>
      <c r="E685" s="20"/>
      <c r="F685" s="31">
        <f t="shared" si="95"/>
        <v>0</v>
      </c>
      <c r="G685" s="20"/>
      <c r="H685" s="25">
        <v>-9000</v>
      </c>
      <c r="I685" s="20"/>
      <c r="J685" s="25">
        <v>9000</v>
      </c>
      <c r="K685" s="20"/>
      <c r="L685" s="25">
        <v>0</v>
      </c>
      <c r="M685" s="20"/>
      <c r="N685" s="25">
        <v>0</v>
      </c>
      <c r="O685" s="20"/>
      <c r="P685" s="25">
        <v>0</v>
      </c>
      <c r="Q685" s="20"/>
      <c r="R685" s="25">
        <v>0</v>
      </c>
    </row>
    <row r="686" spans="1:18" x14ac:dyDescent="0.2">
      <c r="A686" s="20"/>
      <c r="B686" s="20"/>
      <c r="C686" s="20" t="s">
        <v>309</v>
      </c>
      <c r="D686" s="20"/>
      <c r="E686" s="20"/>
      <c r="F686" s="31">
        <f t="shared" si="95"/>
        <v>16179000</v>
      </c>
      <c r="G686" s="20"/>
      <c r="H686" s="25">
        <v>1000</v>
      </c>
      <c r="I686" s="20"/>
      <c r="J686" s="25">
        <v>9682000</v>
      </c>
      <c r="K686" s="20"/>
      <c r="L686" s="25">
        <v>6496000</v>
      </c>
      <c r="M686" s="20"/>
      <c r="N686" s="25">
        <v>5861000</v>
      </c>
      <c r="O686" s="20"/>
      <c r="P686" s="25">
        <v>12626000</v>
      </c>
      <c r="Q686" s="20"/>
      <c r="R686" s="25">
        <v>2308000</v>
      </c>
    </row>
    <row r="687" spans="1:18" x14ac:dyDescent="0.2">
      <c r="A687" s="20"/>
      <c r="B687" s="20"/>
      <c r="C687" s="20" t="s">
        <v>310</v>
      </c>
      <c r="D687" s="20"/>
      <c r="E687" s="20"/>
      <c r="F687" s="31">
        <f t="shared" si="95"/>
        <v>1529000</v>
      </c>
      <c r="G687" s="20"/>
      <c r="H687" s="25">
        <v>101000</v>
      </c>
      <c r="I687" s="20"/>
      <c r="J687" s="25">
        <v>850000</v>
      </c>
      <c r="K687" s="20"/>
      <c r="L687" s="25">
        <v>578000</v>
      </c>
      <c r="M687" s="20"/>
      <c r="N687" s="25">
        <v>912000</v>
      </c>
      <c r="O687" s="20"/>
      <c r="P687" s="25">
        <v>617000</v>
      </c>
      <c r="Q687" s="20"/>
      <c r="R687" s="25">
        <v>0</v>
      </c>
    </row>
    <row r="688" spans="1:18" x14ac:dyDescent="0.2">
      <c r="A688" s="20"/>
      <c r="B688" s="20"/>
      <c r="C688" s="20" t="s">
        <v>311</v>
      </c>
      <c r="D688" s="20"/>
      <c r="E688" s="20"/>
      <c r="F688" s="31">
        <f t="shared" si="95"/>
        <v>0</v>
      </c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</row>
    <row r="689" spans="1:18" x14ac:dyDescent="0.2">
      <c r="A689" s="20"/>
      <c r="B689" s="20"/>
      <c r="C689" s="20"/>
      <c r="D689" s="20"/>
      <c r="E689" s="20" t="s">
        <v>312</v>
      </c>
      <c r="F689" s="31">
        <f t="shared" si="95"/>
        <v>143000</v>
      </c>
      <c r="G689" s="20"/>
      <c r="H689" s="25">
        <v>26000</v>
      </c>
      <c r="I689" s="20"/>
      <c r="J689" s="25">
        <v>120000</v>
      </c>
      <c r="K689" s="20"/>
      <c r="L689" s="25">
        <v>-3000</v>
      </c>
      <c r="M689" s="20"/>
      <c r="N689" s="25">
        <v>88000</v>
      </c>
      <c r="O689" s="20"/>
      <c r="P689" s="25">
        <v>55000</v>
      </c>
      <c r="Q689" s="20"/>
      <c r="R689" s="25">
        <v>0</v>
      </c>
    </row>
    <row r="690" spans="1:18" x14ac:dyDescent="0.2">
      <c r="A690" s="20"/>
      <c r="B690" s="20"/>
      <c r="C690" s="20" t="s">
        <v>275</v>
      </c>
      <c r="D690" s="20"/>
      <c r="E690" s="20"/>
      <c r="F690" s="31">
        <f t="shared" si="95"/>
        <v>32000</v>
      </c>
      <c r="G690" s="20"/>
      <c r="H690" s="25">
        <v>0</v>
      </c>
      <c r="I690" s="20"/>
      <c r="J690" s="25">
        <v>0</v>
      </c>
      <c r="K690" s="20"/>
      <c r="L690" s="25">
        <v>32000</v>
      </c>
      <c r="M690" s="20"/>
      <c r="N690" s="25">
        <v>21000</v>
      </c>
      <c r="O690" s="20"/>
      <c r="P690" s="25">
        <v>11000</v>
      </c>
      <c r="Q690" s="20"/>
      <c r="R690" s="25">
        <v>0</v>
      </c>
    </row>
    <row r="691" spans="1:18" x14ac:dyDescent="0.2">
      <c r="A691" s="20"/>
      <c r="B691" s="20"/>
      <c r="C691" s="20" t="s">
        <v>222</v>
      </c>
      <c r="D691" s="20"/>
      <c r="E691" s="20"/>
      <c r="F691" s="31">
        <f t="shared" si="95"/>
        <v>0</v>
      </c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</row>
    <row r="692" spans="1:18" x14ac:dyDescent="0.2">
      <c r="A692" s="20"/>
      <c r="B692" s="20"/>
      <c r="C692" s="20"/>
      <c r="D692" s="20"/>
      <c r="E692" s="20" t="s">
        <v>51</v>
      </c>
      <c r="F692" s="31">
        <f t="shared" si="95"/>
        <v>82000</v>
      </c>
      <c r="G692" s="20"/>
      <c r="H692" s="25">
        <v>1000</v>
      </c>
      <c r="I692" s="20"/>
      <c r="J692" s="25">
        <v>70000</v>
      </c>
      <c r="K692" s="20"/>
      <c r="L692" s="25">
        <v>11000</v>
      </c>
      <c r="M692" s="20"/>
      <c r="N692" s="25">
        <v>10000</v>
      </c>
      <c r="O692" s="20"/>
      <c r="P692" s="25">
        <v>72000</v>
      </c>
      <c r="Q692" s="20"/>
      <c r="R692" s="25">
        <v>0</v>
      </c>
    </row>
    <row r="693" spans="1:18" x14ac:dyDescent="0.2">
      <c r="A693" s="20"/>
      <c r="B693" s="20"/>
      <c r="C693" s="20" t="s">
        <v>286</v>
      </c>
      <c r="D693" s="20"/>
      <c r="E693" s="20"/>
      <c r="F693" s="31">
        <f t="shared" si="95"/>
        <v>0</v>
      </c>
      <c r="G693" s="20"/>
      <c r="H693" s="25">
        <v>0</v>
      </c>
      <c r="I693" s="20"/>
      <c r="J693" s="25">
        <v>0</v>
      </c>
      <c r="K693" s="20"/>
      <c r="L693" s="25">
        <v>0</v>
      </c>
      <c r="M693" s="20"/>
      <c r="N693" s="25">
        <v>0</v>
      </c>
      <c r="O693" s="20"/>
      <c r="P693" s="25">
        <v>0</v>
      </c>
      <c r="Q693" s="20"/>
      <c r="R693" s="25">
        <v>0</v>
      </c>
    </row>
    <row r="694" spans="1:18" x14ac:dyDescent="0.2">
      <c r="A694" s="20"/>
      <c r="B694" s="20"/>
      <c r="C694" s="20" t="s">
        <v>287</v>
      </c>
      <c r="D694" s="20"/>
      <c r="E694" s="20"/>
      <c r="F694" s="31">
        <f t="shared" si="95"/>
        <v>0</v>
      </c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</row>
    <row r="695" spans="1:18" x14ac:dyDescent="0.2">
      <c r="A695" s="20"/>
      <c r="B695" s="20"/>
      <c r="C695" s="20"/>
      <c r="D695" s="20"/>
      <c r="E695" s="20" t="s">
        <v>288</v>
      </c>
      <c r="F695" s="31">
        <f t="shared" si="95"/>
        <v>306000</v>
      </c>
      <c r="G695" s="20"/>
      <c r="H695" s="25">
        <v>0</v>
      </c>
      <c r="I695" s="20"/>
      <c r="J695" s="25">
        <v>46000</v>
      </c>
      <c r="K695" s="20"/>
      <c r="L695" s="25">
        <v>260000</v>
      </c>
      <c r="M695" s="20"/>
      <c r="N695" s="25">
        <v>129000</v>
      </c>
      <c r="O695" s="20"/>
      <c r="P695" s="25">
        <v>177000</v>
      </c>
      <c r="Q695" s="20"/>
      <c r="R695" s="25">
        <v>0</v>
      </c>
    </row>
    <row r="696" spans="1:18" x14ac:dyDescent="0.2">
      <c r="A696" s="20"/>
      <c r="B696" s="20"/>
      <c r="C696" s="20" t="s">
        <v>313</v>
      </c>
      <c r="D696" s="20"/>
      <c r="E696" s="20"/>
      <c r="F696" s="31">
        <f t="shared" si="95"/>
        <v>0</v>
      </c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</row>
    <row r="697" spans="1:18" x14ac:dyDescent="0.2">
      <c r="A697" s="20"/>
      <c r="B697" s="20"/>
      <c r="C697" s="20" t="s">
        <v>228</v>
      </c>
      <c r="D697" s="20"/>
      <c r="E697" s="20"/>
      <c r="F697" s="31">
        <f t="shared" si="95"/>
        <v>1429000</v>
      </c>
      <c r="G697" s="20"/>
      <c r="H697" s="25">
        <v>0</v>
      </c>
      <c r="I697" s="20"/>
      <c r="J697" s="25">
        <v>852000</v>
      </c>
      <c r="K697" s="20"/>
      <c r="L697" s="25">
        <v>577000</v>
      </c>
      <c r="M697" s="20"/>
      <c r="N697" s="25">
        <v>861000</v>
      </c>
      <c r="O697" s="20"/>
      <c r="P697" s="25">
        <v>568000</v>
      </c>
      <c r="Q697" s="20"/>
      <c r="R697" s="25">
        <v>0</v>
      </c>
    </row>
    <row r="698" spans="1:18" x14ac:dyDescent="0.2">
      <c r="A698" s="20"/>
      <c r="B698" s="20"/>
      <c r="C698" s="20" t="s">
        <v>229</v>
      </c>
      <c r="D698" s="20"/>
      <c r="E698" s="20"/>
      <c r="F698" s="31">
        <f t="shared" si="95"/>
        <v>0</v>
      </c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</row>
    <row r="699" spans="1:18" x14ac:dyDescent="0.2">
      <c r="A699" s="20"/>
      <c r="B699" s="20"/>
      <c r="C699" s="20"/>
      <c r="D699" s="20"/>
      <c r="E699" s="20" t="s">
        <v>230</v>
      </c>
      <c r="F699" s="31">
        <f t="shared" si="95"/>
        <v>0</v>
      </c>
      <c r="G699" s="20"/>
      <c r="H699" s="25">
        <v>0</v>
      </c>
      <c r="I699" s="20"/>
      <c r="J699" s="25">
        <v>0</v>
      </c>
      <c r="K699" s="20"/>
      <c r="L699" s="25">
        <v>0</v>
      </c>
      <c r="M699" s="20"/>
      <c r="N699" s="25">
        <v>0</v>
      </c>
      <c r="O699" s="20"/>
      <c r="P699" s="25">
        <v>0</v>
      </c>
      <c r="Q699" s="20"/>
      <c r="R699" s="25">
        <v>0</v>
      </c>
    </row>
    <row r="700" spans="1:18" x14ac:dyDescent="0.2">
      <c r="A700" s="20"/>
      <c r="B700" s="20"/>
      <c r="C700" s="20" t="s">
        <v>231</v>
      </c>
      <c r="D700" s="20"/>
      <c r="E700" s="20"/>
      <c r="F700" s="31">
        <f t="shared" si="95"/>
        <v>23696000</v>
      </c>
      <c r="G700" s="20"/>
      <c r="H700" s="25">
        <v>803000</v>
      </c>
      <c r="I700" s="20"/>
      <c r="J700" s="25">
        <v>13501000</v>
      </c>
      <c r="K700" s="20"/>
      <c r="L700" s="25">
        <v>9392000</v>
      </c>
      <c r="M700" s="20"/>
      <c r="N700" s="25">
        <v>12647000</v>
      </c>
      <c r="O700" s="20"/>
      <c r="P700" s="25">
        <v>11089000</v>
      </c>
      <c r="Q700" s="20"/>
      <c r="R700" s="25">
        <v>40000</v>
      </c>
    </row>
    <row r="701" spans="1:18" x14ac:dyDescent="0.2">
      <c r="A701" s="20"/>
      <c r="B701" s="20"/>
      <c r="C701" s="20" t="s">
        <v>314</v>
      </c>
      <c r="D701" s="20"/>
      <c r="E701" s="20"/>
      <c r="F701" s="31">
        <f t="shared" si="95"/>
        <v>-88000</v>
      </c>
      <c r="G701" s="20"/>
      <c r="H701" s="25">
        <v>0</v>
      </c>
      <c r="I701" s="20"/>
      <c r="J701" s="25">
        <v>-88000</v>
      </c>
      <c r="K701" s="20"/>
      <c r="L701" s="25">
        <v>0</v>
      </c>
      <c r="M701" s="20"/>
      <c r="N701" s="25">
        <v>0</v>
      </c>
      <c r="O701" s="20"/>
      <c r="P701" s="25">
        <v>0</v>
      </c>
      <c r="Q701" s="20"/>
      <c r="R701" s="25">
        <v>88000</v>
      </c>
    </row>
    <row r="702" spans="1:18" x14ac:dyDescent="0.2">
      <c r="A702" s="20"/>
      <c r="B702" s="20"/>
      <c r="C702" s="20" t="s">
        <v>315</v>
      </c>
      <c r="D702" s="20"/>
      <c r="E702" s="20"/>
      <c r="F702" s="31">
        <f t="shared" si="95"/>
        <v>3000</v>
      </c>
      <c r="G702" s="20"/>
      <c r="H702" s="25">
        <v>0</v>
      </c>
      <c r="I702" s="20"/>
      <c r="J702" s="25">
        <v>0</v>
      </c>
      <c r="K702" s="20"/>
      <c r="L702" s="25">
        <v>3000</v>
      </c>
      <c r="M702" s="20"/>
      <c r="N702" s="25">
        <v>0</v>
      </c>
      <c r="O702" s="20"/>
      <c r="P702" s="25">
        <v>3000</v>
      </c>
      <c r="Q702" s="20"/>
      <c r="R702" s="25">
        <v>0</v>
      </c>
    </row>
    <row r="703" spans="1:18" x14ac:dyDescent="0.2">
      <c r="A703" s="20"/>
      <c r="B703" s="20"/>
      <c r="C703" s="20" t="s">
        <v>233</v>
      </c>
      <c r="D703" s="20"/>
      <c r="E703" s="20"/>
      <c r="F703" s="31">
        <f t="shared" si="95"/>
        <v>6000</v>
      </c>
      <c r="G703" s="20"/>
      <c r="H703" s="25">
        <v>0</v>
      </c>
      <c r="I703" s="20"/>
      <c r="J703" s="25">
        <v>0</v>
      </c>
      <c r="K703" s="20"/>
      <c r="L703" s="25">
        <v>6000</v>
      </c>
      <c r="M703" s="20"/>
      <c r="N703" s="25">
        <v>6000</v>
      </c>
      <c r="O703" s="20"/>
      <c r="P703" s="25">
        <v>0</v>
      </c>
      <c r="Q703" s="20"/>
      <c r="R703" s="25">
        <v>0</v>
      </c>
    </row>
    <row r="704" spans="1:18" x14ac:dyDescent="0.2">
      <c r="A704" s="20"/>
      <c r="B704" s="20"/>
      <c r="C704" s="20" t="s">
        <v>316</v>
      </c>
      <c r="D704" s="20"/>
      <c r="E704" s="20"/>
      <c r="F704" s="31">
        <f t="shared" si="95"/>
        <v>1234000</v>
      </c>
      <c r="G704" s="20"/>
      <c r="H704" s="25">
        <v>0</v>
      </c>
      <c r="I704" s="20"/>
      <c r="J704" s="25">
        <v>942000</v>
      </c>
      <c r="K704" s="20"/>
      <c r="L704" s="25">
        <v>292000</v>
      </c>
      <c r="M704" s="20"/>
      <c r="N704" s="25">
        <v>694000</v>
      </c>
      <c r="O704" s="20"/>
      <c r="P704" s="25">
        <v>540000</v>
      </c>
      <c r="Q704" s="20"/>
      <c r="R704" s="25">
        <v>0</v>
      </c>
    </row>
    <row r="705" spans="1:18" x14ac:dyDescent="0.2">
      <c r="A705" s="20"/>
      <c r="B705" s="20"/>
      <c r="C705" s="20" t="s">
        <v>234</v>
      </c>
      <c r="D705" s="20"/>
      <c r="E705" s="20"/>
      <c r="F705" s="31">
        <f t="shared" si="95"/>
        <v>-1065000</v>
      </c>
      <c r="G705" s="20"/>
      <c r="H705" s="25">
        <v>1559000</v>
      </c>
      <c r="I705" s="20"/>
      <c r="J705" s="25">
        <v>-2712000</v>
      </c>
      <c r="K705" s="20"/>
      <c r="L705" s="25">
        <v>88000</v>
      </c>
      <c r="M705" s="20"/>
      <c r="N705" s="25">
        <v>-307000</v>
      </c>
      <c r="O705" s="20"/>
      <c r="P705" s="25">
        <v>-758000</v>
      </c>
      <c r="Q705" s="20"/>
      <c r="R705" s="25">
        <v>0</v>
      </c>
    </row>
    <row r="706" spans="1:18" x14ac:dyDescent="0.2">
      <c r="A706" s="20"/>
      <c r="B706" s="20"/>
      <c r="C706" s="20" t="s">
        <v>236</v>
      </c>
      <c r="D706" s="20"/>
      <c r="E706" s="20"/>
      <c r="F706" s="31">
        <f t="shared" si="95"/>
        <v>342000</v>
      </c>
      <c r="G706" s="20"/>
      <c r="H706" s="25">
        <v>0</v>
      </c>
      <c r="I706" s="20"/>
      <c r="J706" s="25">
        <v>-147000</v>
      </c>
      <c r="K706" s="20"/>
      <c r="L706" s="25">
        <v>489000</v>
      </c>
      <c r="M706" s="20"/>
      <c r="N706" s="25">
        <v>191000</v>
      </c>
      <c r="O706" s="20"/>
      <c r="P706" s="25">
        <v>151000</v>
      </c>
      <c r="Q706" s="20"/>
      <c r="R706" s="25">
        <v>0</v>
      </c>
    </row>
    <row r="707" spans="1:18" x14ac:dyDescent="0.2">
      <c r="A707" s="20"/>
      <c r="B707" s="20"/>
      <c r="C707" s="20" t="s">
        <v>317</v>
      </c>
      <c r="D707" s="20"/>
      <c r="E707" s="20"/>
      <c r="F707" s="31">
        <f t="shared" si="95"/>
        <v>36000</v>
      </c>
      <c r="G707" s="20"/>
      <c r="H707" s="25">
        <v>0</v>
      </c>
      <c r="I707" s="20"/>
      <c r="J707" s="25">
        <v>0</v>
      </c>
      <c r="K707" s="20"/>
      <c r="L707" s="25">
        <v>36000</v>
      </c>
      <c r="M707" s="20"/>
      <c r="N707" s="25">
        <v>24000</v>
      </c>
      <c r="O707" s="20"/>
      <c r="P707" s="25">
        <v>12000</v>
      </c>
      <c r="Q707" s="20"/>
      <c r="R707" s="25">
        <v>0</v>
      </c>
    </row>
    <row r="708" spans="1:18" x14ac:dyDescent="0.2">
      <c r="A708" s="20"/>
      <c r="B708" s="20"/>
      <c r="C708" s="20" t="s">
        <v>318</v>
      </c>
      <c r="D708" s="20"/>
      <c r="E708" s="20"/>
      <c r="F708" s="31">
        <f t="shared" si="95"/>
        <v>1169000</v>
      </c>
      <c r="G708" s="20"/>
      <c r="H708" s="25">
        <v>15000</v>
      </c>
      <c r="I708" s="20"/>
      <c r="J708" s="25">
        <v>968000</v>
      </c>
      <c r="K708" s="20"/>
      <c r="L708" s="25">
        <v>186000</v>
      </c>
      <c r="M708" s="20"/>
      <c r="N708" s="25">
        <v>630000</v>
      </c>
      <c r="O708" s="20"/>
      <c r="P708" s="25">
        <v>540000</v>
      </c>
      <c r="Q708" s="20"/>
      <c r="R708" s="25">
        <v>1000</v>
      </c>
    </row>
    <row r="709" spans="1:18" x14ac:dyDescent="0.2">
      <c r="A709" s="20"/>
      <c r="B709" s="20"/>
      <c r="C709" s="20" t="s">
        <v>240</v>
      </c>
      <c r="D709" s="20"/>
      <c r="E709" s="20"/>
      <c r="F709" s="31">
        <f t="shared" si="95"/>
        <v>144000</v>
      </c>
      <c r="G709" s="20"/>
      <c r="H709" s="25">
        <v>0</v>
      </c>
      <c r="I709" s="20"/>
      <c r="J709" s="25">
        <v>144000</v>
      </c>
      <c r="K709" s="20"/>
      <c r="L709" s="25">
        <v>0</v>
      </c>
      <c r="M709" s="20"/>
      <c r="N709" s="25">
        <v>73000</v>
      </c>
      <c r="O709" s="20"/>
      <c r="P709" s="25">
        <v>71000</v>
      </c>
      <c r="Q709" s="20"/>
      <c r="R709" s="25">
        <v>0</v>
      </c>
    </row>
    <row r="710" spans="1:18" x14ac:dyDescent="0.2">
      <c r="A710" s="20" t="s">
        <v>22</v>
      </c>
      <c r="B710" s="20"/>
      <c r="C710" s="20" t="s">
        <v>319</v>
      </c>
      <c r="D710" s="20"/>
      <c r="E710" s="20"/>
      <c r="F710" s="31">
        <f t="shared" si="95"/>
        <v>427000</v>
      </c>
      <c r="G710" s="20"/>
      <c r="H710" s="25">
        <v>-1000</v>
      </c>
      <c r="I710" s="20"/>
      <c r="J710" s="25">
        <v>186000</v>
      </c>
      <c r="K710" s="20"/>
      <c r="L710" s="25">
        <v>242000</v>
      </c>
      <c r="M710" s="20"/>
      <c r="N710" s="25">
        <v>0</v>
      </c>
      <c r="O710" s="20"/>
      <c r="P710" s="25">
        <v>427000</v>
      </c>
      <c r="Q710" s="20"/>
      <c r="R710" s="25">
        <v>0</v>
      </c>
    </row>
    <row r="711" spans="1:18" x14ac:dyDescent="0.2">
      <c r="A711" s="20"/>
      <c r="B711" s="20"/>
      <c r="C711" s="20" t="s">
        <v>244</v>
      </c>
      <c r="D711" s="20"/>
      <c r="E711" s="20"/>
      <c r="F711" s="28">
        <f t="shared" si="95"/>
        <v>-61000</v>
      </c>
      <c r="G711" s="20"/>
      <c r="H711" s="27">
        <v>-6000</v>
      </c>
      <c r="I711" s="20"/>
      <c r="J711" s="27">
        <v>199000</v>
      </c>
      <c r="K711" s="20"/>
      <c r="L711" s="27">
        <v>-254000</v>
      </c>
      <c r="M711" s="20"/>
      <c r="N711" s="27">
        <v>-52000</v>
      </c>
      <c r="O711" s="20"/>
      <c r="P711" s="27">
        <v>-9000</v>
      </c>
      <c r="Q711" s="20"/>
      <c r="R711" s="27">
        <v>0</v>
      </c>
    </row>
    <row r="712" spans="1:18" x14ac:dyDescent="0.2">
      <c r="A712" s="20"/>
      <c r="B712" s="20"/>
      <c r="C712" s="20"/>
      <c r="D712" s="20"/>
      <c r="E712" s="20"/>
      <c r="F712" s="21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</row>
    <row r="713" spans="1:18" x14ac:dyDescent="0.2">
      <c r="A713" s="20"/>
      <c r="B713" s="20"/>
      <c r="C713" s="20"/>
      <c r="D713" s="20"/>
      <c r="E713" s="20" t="s">
        <v>3</v>
      </c>
      <c r="F713" s="28">
        <f>SUM(F680:F712)</f>
        <v>68546000</v>
      </c>
      <c r="G713" s="27">
        <f t="shared" ref="G713:R713" si="96">SUM(G680:G712)</f>
        <v>0</v>
      </c>
      <c r="H713" s="27">
        <f t="shared" si="96"/>
        <v>4458000</v>
      </c>
      <c r="I713" s="27">
        <f t="shared" si="96"/>
        <v>0</v>
      </c>
      <c r="J713" s="27">
        <f t="shared" si="96"/>
        <v>32294000</v>
      </c>
      <c r="K713" s="27">
        <f t="shared" si="96"/>
        <v>0</v>
      </c>
      <c r="L713" s="27">
        <f t="shared" si="96"/>
        <v>31794000</v>
      </c>
      <c r="M713" s="27">
        <f t="shared" si="96"/>
        <v>0</v>
      </c>
      <c r="N713" s="27">
        <f t="shared" si="96"/>
        <v>32566000</v>
      </c>
      <c r="O713" s="27">
        <f t="shared" si="96"/>
        <v>0</v>
      </c>
      <c r="P713" s="27">
        <f t="shared" si="96"/>
        <v>38417000</v>
      </c>
      <c r="Q713" s="27">
        <f t="shared" si="96"/>
        <v>0</v>
      </c>
      <c r="R713" s="27">
        <f t="shared" si="96"/>
        <v>2437000</v>
      </c>
    </row>
    <row r="714" spans="1:18" x14ac:dyDescent="0.2">
      <c r="A714" s="20"/>
      <c r="B714" s="20"/>
      <c r="C714" s="20"/>
      <c r="D714" s="20"/>
      <c r="E714" s="20"/>
      <c r="F714" s="21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</row>
    <row r="715" spans="1:18" x14ac:dyDescent="0.2">
      <c r="A715" s="20"/>
      <c r="B715" s="20" t="s">
        <v>29</v>
      </c>
      <c r="C715" s="20"/>
      <c r="D715" s="20"/>
      <c r="E715" s="20"/>
      <c r="F715" s="21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</row>
    <row r="716" spans="1:18" x14ac:dyDescent="0.2">
      <c r="A716" s="20"/>
      <c r="B716" s="20"/>
      <c r="C716" s="20" t="s">
        <v>320</v>
      </c>
      <c r="D716" s="20"/>
      <c r="E716" s="20"/>
      <c r="F716" s="31">
        <f t="shared" ref="F716:F754" si="97">SUM(H716:L716)</f>
        <v>0</v>
      </c>
      <c r="G716" s="20"/>
      <c r="H716" s="25">
        <v>0</v>
      </c>
      <c r="I716" s="20"/>
      <c r="J716" s="25">
        <v>0</v>
      </c>
      <c r="K716" s="20"/>
      <c r="L716" s="25">
        <v>0</v>
      </c>
      <c r="M716" s="20"/>
      <c r="N716" s="25">
        <v>0</v>
      </c>
      <c r="O716" s="20"/>
      <c r="P716" s="25">
        <v>0</v>
      </c>
      <c r="Q716" s="20"/>
      <c r="R716" s="25">
        <v>0</v>
      </c>
    </row>
    <row r="717" spans="1:18" x14ac:dyDescent="0.2">
      <c r="A717" s="20"/>
      <c r="B717" s="20"/>
      <c r="C717" s="20" t="s">
        <v>321</v>
      </c>
      <c r="D717" s="20"/>
      <c r="E717" s="20"/>
      <c r="F717" s="31">
        <f t="shared" si="97"/>
        <v>0</v>
      </c>
      <c r="G717" s="20"/>
      <c r="H717" s="25">
        <v>0</v>
      </c>
      <c r="I717" s="20"/>
      <c r="J717" s="25">
        <v>0</v>
      </c>
      <c r="K717" s="20"/>
      <c r="L717" s="25">
        <v>0</v>
      </c>
      <c r="M717" s="20"/>
      <c r="N717" s="25">
        <v>0</v>
      </c>
      <c r="O717" s="20"/>
      <c r="P717" s="25">
        <v>0</v>
      </c>
      <c r="Q717" s="20"/>
      <c r="R717" s="25">
        <v>0</v>
      </c>
    </row>
    <row r="718" spans="1:18" x14ac:dyDescent="0.2">
      <c r="A718" s="20"/>
      <c r="B718" s="20"/>
      <c r="C718" s="20" t="s">
        <v>307</v>
      </c>
      <c r="D718" s="20"/>
      <c r="E718" s="20"/>
      <c r="F718" s="31">
        <f t="shared" si="97"/>
        <v>387000</v>
      </c>
      <c r="G718" s="20"/>
      <c r="H718" s="25">
        <v>231000</v>
      </c>
      <c r="I718" s="20"/>
      <c r="J718" s="25">
        <v>1000</v>
      </c>
      <c r="K718" s="20"/>
      <c r="L718" s="25">
        <v>155000</v>
      </c>
      <c r="M718" s="20"/>
      <c r="N718" s="25">
        <v>170000</v>
      </c>
      <c r="O718" s="20"/>
      <c r="P718" s="25">
        <v>217000</v>
      </c>
      <c r="Q718" s="20"/>
      <c r="R718" s="25">
        <v>0</v>
      </c>
    </row>
    <row r="719" spans="1:18" x14ac:dyDescent="0.2">
      <c r="A719" s="20"/>
      <c r="B719" s="20"/>
      <c r="C719" s="20" t="s">
        <v>322</v>
      </c>
      <c r="D719" s="20"/>
      <c r="E719" s="20"/>
      <c r="F719" s="31">
        <f t="shared" si="97"/>
        <v>0</v>
      </c>
      <c r="G719" s="20"/>
      <c r="H719" s="25">
        <v>0</v>
      </c>
      <c r="I719" s="20"/>
      <c r="J719" s="25">
        <v>0</v>
      </c>
      <c r="K719" s="20"/>
      <c r="L719" s="25">
        <v>0</v>
      </c>
      <c r="M719" s="20"/>
      <c r="N719" s="25">
        <v>0</v>
      </c>
      <c r="O719" s="20"/>
      <c r="P719" s="25">
        <v>0</v>
      </c>
      <c r="Q719" s="20"/>
      <c r="R719" s="25">
        <v>0</v>
      </c>
    </row>
    <row r="720" spans="1:18" x14ac:dyDescent="0.2">
      <c r="A720" s="20"/>
      <c r="B720" s="20"/>
      <c r="C720" s="20" t="s">
        <v>323</v>
      </c>
      <c r="D720" s="20"/>
      <c r="E720" s="20"/>
      <c r="F720" s="31">
        <f t="shared" si="97"/>
        <v>2562000</v>
      </c>
      <c r="G720" s="20"/>
      <c r="H720" s="25">
        <v>1469000</v>
      </c>
      <c r="I720" s="20"/>
      <c r="J720" s="25">
        <v>1093000</v>
      </c>
      <c r="K720" s="20"/>
      <c r="L720" s="25">
        <v>0</v>
      </c>
      <c r="M720" s="20"/>
      <c r="N720" s="25">
        <v>1736000</v>
      </c>
      <c r="O720" s="20"/>
      <c r="P720" s="25">
        <v>826000</v>
      </c>
      <c r="Q720" s="20"/>
      <c r="R720" s="25">
        <v>0</v>
      </c>
    </row>
    <row r="721" spans="1:18" x14ac:dyDescent="0.2">
      <c r="A721" s="20"/>
      <c r="B721" s="20"/>
      <c r="C721" s="20" t="s">
        <v>324</v>
      </c>
      <c r="D721" s="20"/>
      <c r="E721" s="20"/>
      <c r="F721" s="31">
        <f t="shared" si="97"/>
        <v>0</v>
      </c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</row>
    <row r="722" spans="1:18" x14ac:dyDescent="0.2">
      <c r="A722" s="20"/>
      <c r="B722" s="20"/>
      <c r="C722" s="20"/>
      <c r="D722" s="20"/>
      <c r="E722" s="20" t="s">
        <v>51</v>
      </c>
      <c r="F722" s="31">
        <f t="shared" si="97"/>
        <v>1775000</v>
      </c>
      <c r="G722" s="20"/>
      <c r="H722" s="25">
        <v>136000</v>
      </c>
      <c r="I722" s="20"/>
      <c r="J722" s="25">
        <v>1532000</v>
      </c>
      <c r="K722" s="20"/>
      <c r="L722" s="25">
        <v>107000</v>
      </c>
      <c r="M722" s="20"/>
      <c r="N722" s="25">
        <v>1146000</v>
      </c>
      <c r="O722" s="20"/>
      <c r="P722" s="25">
        <v>4726000</v>
      </c>
      <c r="Q722" s="20"/>
      <c r="R722" s="25">
        <v>4097000</v>
      </c>
    </row>
    <row r="723" spans="1:18" x14ac:dyDescent="0.2">
      <c r="A723" s="20"/>
      <c r="B723" s="20"/>
      <c r="C723" s="20" t="s">
        <v>325</v>
      </c>
      <c r="D723" s="20"/>
      <c r="E723" s="20"/>
      <c r="F723" s="31">
        <f t="shared" si="97"/>
        <v>167000</v>
      </c>
      <c r="G723" s="20"/>
      <c r="H723" s="25">
        <v>3000</v>
      </c>
      <c r="I723" s="20"/>
      <c r="J723" s="25">
        <v>155000</v>
      </c>
      <c r="K723" s="20"/>
      <c r="L723" s="25">
        <v>9000</v>
      </c>
      <c r="M723" s="20"/>
      <c r="N723" s="25">
        <v>107000</v>
      </c>
      <c r="O723" s="20"/>
      <c r="P723" s="25">
        <v>60000</v>
      </c>
      <c r="Q723" s="20"/>
      <c r="R723" s="25">
        <v>0</v>
      </c>
    </row>
    <row r="724" spans="1:18" x14ac:dyDescent="0.2">
      <c r="A724" s="20"/>
      <c r="B724" s="20"/>
      <c r="C724" s="20" t="s">
        <v>216</v>
      </c>
      <c r="D724" s="20"/>
      <c r="E724" s="20"/>
      <c r="F724" s="31">
        <f t="shared" si="97"/>
        <v>172000</v>
      </c>
      <c r="G724" s="20"/>
      <c r="H724" s="25">
        <v>86000</v>
      </c>
      <c r="I724" s="20"/>
      <c r="J724" s="25">
        <v>86000</v>
      </c>
      <c r="K724" s="20"/>
      <c r="L724" s="25">
        <v>0</v>
      </c>
      <c r="M724" s="20"/>
      <c r="N724" s="25">
        <v>113000</v>
      </c>
      <c r="O724" s="20"/>
      <c r="P724" s="25">
        <v>59000</v>
      </c>
      <c r="Q724" s="20"/>
      <c r="R724" s="25">
        <v>0</v>
      </c>
    </row>
    <row r="725" spans="1:18" x14ac:dyDescent="0.2">
      <c r="A725" s="20"/>
      <c r="B725" s="20"/>
      <c r="C725" s="20" t="s">
        <v>326</v>
      </c>
      <c r="D725" s="20"/>
      <c r="E725" s="20"/>
      <c r="F725" s="31">
        <f t="shared" si="97"/>
        <v>1696000</v>
      </c>
      <c r="G725" s="20"/>
      <c r="H725" s="25">
        <v>396000</v>
      </c>
      <c r="I725" s="20"/>
      <c r="J725" s="25">
        <v>1300000</v>
      </c>
      <c r="K725" s="20"/>
      <c r="L725" s="25">
        <v>0</v>
      </c>
      <c r="M725" s="20"/>
      <c r="N725" s="25">
        <v>3530000</v>
      </c>
      <c r="O725" s="20"/>
      <c r="P725" s="25">
        <v>7140000</v>
      </c>
      <c r="Q725" s="20"/>
      <c r="R725" s="25">
        <v>8974000</v>
      </c>
    </row>
    <row r="726" spans="1:18" x14ac:dyDescent="0.2">
      <c r="A726" s="20"/>
      <c r="B726" s="20"/>
      <c r="C726" s="20" t="s">
        <v>327</v>
      </c>
      <c r="D726" s="20"/>
      <c r="E726" s="20"/>
      <c r="F726" s="31">
        <f t="shared" si="97"/>
        <v>5152000</v>
      </c>
      <c r="G726" s="20"/>
      <c r="H726" s="25">
        <v>17000</v>
      </c>
      <c r="I726" s="20"/>
      <c r="J726" s="25">
        <v>5135000</v>
      </c>
      <c r="K726" s="20"/>
      <c r="L726" s="25">
        <v>0</v>
      </c>
      <c r="M726" s="20"/>
      <c r="N726" s="25">
        <v>2631000</v>
      </c>
      <c r="O726" s="20"/>
      <c r="P726" s="25">
        <v>4956000</v>
      </c>
      <c r="Q726" s="20"/>
      <c r="R726" s="25">
        <v>2435000</v>
      </c>
    </row>
    <row r="727" spans="1:18" x14ac:dyDescent="0.2">
      <c r="A727" s="20"/>
      <c r="B727" s="20"/>
      <c r="C727" s="20" t="s">
        <v>275</v>
      </c>
      <c r="D727" s="20"/>
      <c r="E727" s="20"/>
      <c r="F727" s="31">
        <f t="shared" si="97"/>
        <v>22000</v>
      </c>
      <c r="G727" s="20"/>
      <c r="H727" s="25">
        <v>51000</v>
      </c>
      <c r="I727" s="20"/>
      <c r="J727" s="25">
        <v>-29000</v>
      </c>
      <c r="K727" s="20"/>
      <c r="L727" s="25">
        <v>0</v>
      </c>
      <c r="M727" s="20"/>
      <c r="N727" s="25">
        <v>37000</v>
      </c>
      <c r="O727" s="20"/>
      <c r="P727" s="25">
        <v>15000</v>
      </c>
      <c r="Q727" s="20"/>
      <c r="R727" s="25">
        <v>30000</v>
      </c>
    </row>
    <row r="728" spans="1:18" x14ac:dyDescent="0.2">
      <c r="A728" s="20" t="s">
        <v>22</v>
      </c>
      <c r="B728" s="20"/>
      <c r="C728" s="20" t="s">
        <v>328</v>
      </c>
      <c r="D728" s="20"/>
      <c r="E728" s="20"/>
      <c r="F728" s="31">
        <f t="shared" si="97"/>
        <v>0</v>
      </c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</row>
    <row r="729" spans="1:18" x14ac:dyDescent="0.2">
      <c r="A729" s="20"/>
      <c r="B729" s="20"/>
      <c r="C729" s="20"/>
      <c r="D729" s="20"/>
      <c r="E729" s="20" t="s">
        <v>329</v>
      </c>
      <c r="F729" s="31">
        <f t="shared" si="97"/>
        <v>2003000</v>
      </c>
      <c r="G729" s="20"/>
      <c r="H729" s="25">
        <v>495000</v>
      </c>
      <c r="I729" s="20"/>
      <c r="J729" s="25">
        <v>1416000</v>
      </c>
      <c r="K729" s="20"/>
      <c r="L729" s="25">
        <v>92000</v>
      </c>
      <c r="M729" s="20"/>
      <c r="N729" s="25">
        <v>1040000</v>
      </c>
      <c r="O729" s="20"/>
      <c r="P729" s="25">
        <v>963000</v>
      </c>
      <c r="Q729" s="20"/>
      <c r="R729" s="25">
        <v>0</v>
      </c>
    </row>
    <row r="730" spans="1:18" x14ac:dyDescent="0.2">
      <c r="A730" s="20"/>
      <c r="B730" s="20"/>
      <c r="C730" s="20" t="s">
        <v>330</v>
      </c>
      <c r="D730" s="20"/>
      <c r="E730" s="20"/>
      <c r="F730" s="31">
        <f t="shared" si="97"/>
        <v>4240000</v>
      </c>
      <c r="G730" s="20"/>
      <c r="H730" s="25">
        <v>762000</v>
      </c>
      <c r="I730" s="20"/>
      <c r="J730" s="25">
        <v>2919000</v>
      </c>
      <c r="K730" s="20"/>
      <c r="L730" s="25">
        <v>559000</v>
      </c>
      <c r="M730" s="20"/>
      <c r="N730" s="25">
        <v>2369000</v>
      </c>
      <c r="O730" s="20"/>
      <c r="P730" s="25">
        <v>1871000</v>
      </c>
      <c r="Q730" s="20"/>
      <c r="R730" s="25">
        <v>0</v>
      </c>
    </row>
    <row r="731" spans="1:18" x14ac:dyDescent="0.2">
      <c r="A731" s="20"/>
      <c r="B731" s="20"/>
      <c r="C731" s="20" t="s">
        <v>219</v>
      </c>
      <c r="D731" s="20"/>
      <c r="E731" s="20"/>
      <c r="F731" s="31">
        <f t="shared" si="97"/>
        <v>175000</v>
      </c>
      <c r="G731" s="20"/>
      <c r="H731" s="25">
        <v>109000</v>
      </c>
      <c r="I731" s="20"/>
      <c r="J731" s="25">
        <v>2000</v>
      </c>
      <c r="K731" s="20"/>
      <c r="L731" s="25">
        <v>64000</v>
      </c>
      <c r="M731" s="20"/>
      <c r="N731" s="25">
        <v>119000</v>
      </c>
      <c r="O731" s="20"/>
      <c r="P731" s="25">
        <v>56000</v>
      </c>
      <c r="Q731" s="20"/>
      <c r="R731" s="25">
        <v>0</v>
      </c>
    </row>
    <row r="732" spans="1:18" x14ac:dyDescent="0.2">
      <c r="A732" s="20"/>
      <c r="B732" s="20"/>
      <c r="C732" s="20" t="s">
        <v>220</v>
      </c>
      <c r="D732" s="20"/>
      <c r="E732" s="20"/>
      <c r="F732" s="31">
        <f t="shared" si="97"/>
        <v>184000</v>
      </c>
      <c r="G732" s="20"/>
      <c r="H732" s="25">
        <v>0</v>
      </c>
      <c r="I732" s="20"/>
      <c r="J732" s="25">
        <v>37000</v>
      </c>
      <c r="K732" s="20"/>
      <c r="L732" s="25">
        <v>147000</v>
      </c>
      <c r="M732" s="20"/>
      <c r="N732" s="25">
        <v>371000</v>
      </c>
      <c r="O732" s="20"/>
      <c r="P732" s="25">
        <v>475000</v>
      </c>
      <c r="Q732" s="20"/>
      <c r="R732" s="25">
        <v>662000</v>
      </c>
    </row>
    <row r="733" spans="1:18" x14ac:dyDescent="0.2">
      <c r="A733" s="20"/>
      <c r="B733" s="20"/>
      <c r="C733" s="20" t="s">
        <v>287</v>
      </c>
      <c r="D733" s="20"/>
      <c r="E733" s="20"/>
      <c r="F733" s="31">
        <f t="shared" si="97"/>
        <v>0</v>
      </c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</row>
    <row r="734" spans="1:18" x14ac:dyDescent="0.2">
      <c r="A734" s="20"/>
      <c r="B734" s="20"/>
      <c r="C734" s="20"/>
      <c r="D734" s="20"/>
      <c r="E734" s="20" t="s">
        <v>288</v>
      </c>
      <c r="F734" s="31">
        <f t="shared" si="97"/>
        <v>0</v>
      </c>
      <c r="G734" s="20"/>
      <c r="H734" s="25">
        <v>0</v>
      </c>
      <c r="I734" s="20"/>
      <c r="J734" s="25">
        <v>0</v>
      </c>
      <c r="K734" s="20"/>
      <c r="L734" s="25">
        <v>0</v>
      </c>
      <c r="M734" s="20"/>
      <c r="N734" s="25">
        <v>0</v>
      </c>
      <c r="O734" s="20"/>
      <c r="P734" s="25">
        <v>0</v>
      </c>
      <c r="Q734" s="20"/>
      <c r="R734" s="25">
        <v>0</v>
      </c>
    </row>
    <row r="735" spans="1:18" x14ac:dyDescent="0.2">
      <c r="A735" s="20"/>
      <c r="B735" s="20"/>
      <c r="C735" s="20" t="s">
        <v>331</v>
      </c>
      <c r="D735" s="20"/>
      <c r="E735" s="20"/>
      <c r="F735" s="31">
        <f t="shared" si="97"/>
        <v>0</v>
      </c>
      <c r="G735" s="20"/>
      <c r="H735" s="25">
        <v>0</v>
      </c>
      <c r="I735" s="20"/>
      <c r="J735" s="25">
        <v>0</v>
      </c>
      <c r="K735" s="20"/>
      <c r="L735" s="25">
        <v>0</v>
      </c>
      <c r="M735" s="20"/>
      <c r="N735" s="25">
        <v>0</v>
      </c>
      <c r="O735" s="20"/>
      <c r="P735" s="25">
        <v>0</v>
      </c>
      <c r="Q735" s="20"/>
      <c r="R735" s="25">
        <v>0</v>
      </c>
    </row>
    <row r="736" spans="1:18" x14ac:dyDescent="0.2">
      <c r="A736" s="20"/>
      <c r="B736" s="20"/>
      <c r="C736" s="20" t="s">
        <v>332</v>
      </c>
      <c r="D736" s="20"/>
      <c r="E736" s="20"/>
      <c r="F736" s="31">
        <f t="shared" si="97"/>
        <v>68925000</v>
      </c>
      <c r="G736" s="20"/>
      <c r="H736" s="25">
        <v>47500000</v>
      </c>
      <c r="I736" s="20"/>
      <c r="J736" s="25">
        <v>5726000</v>
      </c>
      <c r="K736" s="20"/>
      <c r="L736" s="25">
        <v>15699000</v>
      </c>
      <c r="M736" s="20"/>
      <c r="N736" s="25">
        <v>29820000</v>
      </c>
      <c r="O736" s="20"/>
      <c r="P736" s="25">
        <v>39105000</v>
      </c>
      <c r="Q736" s="20"/>
      <c r="R736" s="25">
        <v>0</v>
      </c>
    </row>
    <row r="737" spans="1:18" x14ac:dyDescent="0.2">
      <c r="A737" s="20"/>
      <c r="B737" s="20"/>
      <c r="C737" s="20" t="s">
        <v>232</v>
      </c>
      <c r="D737" s="20"/>
      <c r="E737" s="20"/>
      <c r="F737" s="31">
        <f t="shared" si="97"/>
        <v>1550000</v>
      </c>
      <c r="G737" s="20"/>
      <c r="H737" s="25">
        <v>647000</v>
      </c>
      <c r="I737" s="20"/>
      <c r="J737" s="25">
        <v>186000</v>
      </c>
      <c r="K737" s="20"/>
      <c r="L737" s="25">
        <v>717000</v>
      </c>
      <c r="M737" s="20"/>
      <c r="N737" s="25">
        <v>1006000</v>
      </c>
      <c r="O737" s="20"/>
      <c r="P737" s="25">
        <v>544000</v>
      </c>
      <c r="Q737" s="20"/>
      <c r="R737" s="25">
        <v>0</v>
      </c>
    </row>
    <row r="738" spans="1:18" x14ac:dyDescent="0.2">
      <c r="A738" s="20"/>
      <c r="B738" s="20"/>
      <c r="C738" s="20" t="s">
        <v>233</v>
      </c>
      <c r="D738" s="20"/>
      <c r="E738" s="20"/>
      <c r="F738" s="31">
        <f t="shared" si="97"/>
        <v>1765000</v>
      </c>
      <c r="G738" s="20"/>
      <c r="H738" s="25">
        <v>954000</v>
      </c>
      <c r="I738" s="20"/>
      <c r="J738" s="25">
        <v>69000</v>
      </c>
      <c r="K738" s="20"/>
      <c r="L738" s="25">
        <v>742000</v>
      </c>
      <c r="M738" s="20"/>
      <c r="N738" s="25">
        <v>1079000</v>
      </c>
      <c r="O738" s="20"/>
      <c r="P738" s="25">
        <v>711000</v>
      </c>
      <c r="Q738" s="20"/>
      <c r="R738" s="25">
        <v>25000</v>
      </c>
    </row>
    <row r="739" spans="1:18" x14ac:dyDescent="0.2">
      <c r="A739" s="20"/>
      <c r="B739" s="20"/>
      <c r="C739" s="20" t="s">
        <v>333</v>
      </c>
      <c r="D739" s="20"/>
      <c r="E739" s="20"/>
      <c r="F739" s="31">
        <f t="shared" si="97"/>
        <v>0</v>
      </c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</row>
    <row r="740" spans="1:18" x14ac:dyDescent="0.2">
      <c r="A740" s="20"/>
      <c r="B740" s="20"/>
      <c r="C740" s="20"/>
      <c r="D740" s="20"/>
      <c r="E740" s="20" t="s">
        <v>334</v>
      </c>
      <c r="F740" s="31">
        <f t="shared" si="97"/>
        <v>3000</v>
      </c>
      <c r="G740" s="20"/>
      <c r="H740" s="25">
        <v>3000</v>
      </c>
      <c r="I740" s="20"/>
      <c r="J740" s="25">
        <v>0</v>
      </c>
      <c r="K740" s="20"/>
      <c r="L740" s="25">
        <v>0</v>
      </c>
      <c r="M740" s="20"/>
      <c r="N740" s="25">
        <v>1000</v>
      </c>
      <c r="O740" s="20"/>
      <c r="P740" s="25">
        <v>2000</v>
      </c>
      <c r="Q740" s="20"/>
      <c r="R740" s="25">
        <v>0</v>
      </c>
    </row>
    <row r="741" spans="1:18" x14ac:dyDescent="0.2">
      <c r="A741" s="20"/>
      <c r="B741" s="20"/>
      <c r="C741" s="20" t="s">
        <v>335</v>
      </c>
      <c r="D741" s="20"/>
      <c r="E741" s="20"/>
      <c r="F741" s="31">
        <f t="shared" si="97"/>
        <v>1928000</v>
      </c>
      <c r="G741" s="20"/>
      <c r="H741" s="25">
        <v>2559000</v>
      </c>
      <c r="I741" s="20"/>
      <c r="J741" s="25">
        <v>-631000</v>
      </c>
      <c r="K741" s="20"/>
      <c r="L741" s="25">
        <v>0</v>
      </c>
      <c r="M741" s="20"/>
      <c r="N741" s="25">
        <v>2482000</v>
      </c>
      <c r="O741" s="20"/>
      <c r="P741" s="25">
        <v>3229000</v>
      </c>
      <c r="Q741" s="20"/>
      <c r="R741" s="25">
        <v>3783000</v>
      </c>
    </row>
    <row r="742" spans="1:18" x14ac:dyDescent="0.2">
      <c r="A742" s="20"/>
      <c r="B742" s="20"/>
      <c r="C742" s="20" t="s">
        <v>336</v>
      </c>
      <c r="D742" s="20"/>
      <c r="E742" s="20"/>
      <c r="F742" s="31">
        <f t="shared" si="97"/>
        <v>1987000</v>
      </c>
      <c r="G742" s="20"/>
      <c r="H742" s="25">
        <v>0</v>
      </c>
      <c r="I742" s="20"/>
      <c r="J742" s="25">
        <v>1986000</v>
      </c>
      <c r="K742" s="20"/>
      <c r="L742" s="25">
        <v>1000</v>
      </c>
      <c r="M742" s="20"/>
      <c r="N742" s="25">
        <v>1215000</v>
      </c>
      <c r="O742" s="20"/>
      <c r="P742" s="25">
        <v>772000</v>
      </c>
      <c r="Q742" s="20"/>
      <c r="R742" s="25">
        <v>0</v>
      </c>
    </row>
    <row r="743" spans="1:18" x14ac:dyDescent="0.2">
      <c r="A743" s="20"/>
      <c r="B743" s="20"/>
      <c r="C743" s="20" t="s">
        <v>234</v>
      </c>
      <c r="D743" s="20"/>
      <c r="E743" s="20"/>
      <c r="F743" s="31">
        <f t="shared" si="97"/>
        <v>-4474000</v>
      </c>
      <c r="G743" s="20"/>
      <c r="H743" s="25">
        <v>14389000</v>
      </c>
      <c r="I743" s="20"/>
      <c r="J743" s="25">
        <v>-18994000</v>
      </c>
      <c r="K743" s="20"/>
      <c r="L743" s="25">
        <v>131000</v>
      </c>
      <c r="M743" s="20"/>
      <c r="N743" s="25">
        <v>-331000</v>
      </c>
      <c r="O743" s="20"/>
      <c r="P743" s="25">
        <v>-3871000</v>
      </c>
      <c r="Q743" s="20"/>
      <c r="R743" s="25">
        <v>272000</v>
      </c>
    </row>
    <row r="744" spans="1:18" x14ac:dyDescent="0.2">
      <c r="A744" s="20"/>
      <c r="B744" s="20"/>
      <c r="C744" s="20" t="s">
        <v>337</v>
      </c>
      <c r="D744" s="20"/>
      <c r="E744" s="20"/>
      <c r="F744" s="31">
        <f t="shared" si="97"/>
        <v>0</v>
      </c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</row>
    <row r="745" spans="1:18" x14ac:dyDescent="0.2">
      <c r="A745" s="20"/>
      <c r="B745" s="20"/>
      <c r="C745" s="20"/>
      <c r="D745" s="20"/>
      <c r="E745" s="20" t="s">
        <v>338</v>
      </c>
      <c r="F745" s="31">
        <f t="shared" si="97"/>
        <v>2427000</v>
      </c>
      <c r="G745" s="20"/>
      <c r="H745" s="25">
        <v>640000</v>
      </c>
      <c r="I745" s="20"/>
      <c r="J745" s="25">
        <v>999000</v>
      </c>
      <c r="K745" s="20"/>
      <c r="L745" s="25">
        <v>788000</v>
      </c>
      <c r="M745" s="20"/>
      <c r="N745" s="25">
        <v>1466000</v>
      </c>
      <c r="O745" s="20"/>
      <c r="P745" s="25">
        <v>967000</v>
      </c>
      <c r="Q745" s="20"/>
      <c r="R745" s="25">
        <v>6000</v>
      </c>
    </row>
    <row r="746" spans="1:18" x14ac:dyDescent="0.2">
      <c r="A746" s="20"/>
      <c r="B746" s="20"/>
      <c r="C746" s="20" t="s">
        <v>339</v>
      </c>
      <c r="D746" s="20"/>
      <c r="E746" s="20"/>
      <c r="F746" s="31">
        <f t="shared" si="97"/>
        <v>3083000</v>
      </c>
      <c r="G746" s="20"/>
      <c r="H746" s="25">
        <v>0</v>
      </c>
      <c r="I746" s="20"/>
      <c r="J746" s="25">
        <v>3083000</v>
      </c>
      <c r="K746" s="20"/>
      <c r="L746" s="25">
        <v>0</v>
      </c>
      <c r="M746" s="20"/>
      <c r="N746" s="25">
        <v>2043000</v>
      </c>
      <c r="O746" s="20"/>
      <c r="P746" s="25">
        <v>1040000</v>
      </c>
      <c r="Q746" s="20"/>
      <c r="R746" s="25">
        <v>0</v>
      </c>
    </row>
    <row r="747" spans="1:18" x14ac:dyDescent="0.2">
      <c r="A747" s="20"/>
      <c r="B747" s="20"/>
      <c r="C747" s="20" t="s">
        <v>297</v>
      </c>
      <c r="D747" s="20"/>
      <c r="E747" s="20"/>
      <c r="F747" s="31">
        <f t="shared" si="97"/>
        <v>0</v>
      </c>
      <c r="G747" s="20"/>
      <c r="H747" s="25">
        <v>0</v>
      </c>
      <c r="I747" s="20"/>
      <c r="J747" s="25">
        <v>0</v>
      </c>
      <c r="K747" s="20"/>
      <c r="L747" s="25">
        <v>0</v>
      </c>
      <c r="M747" s="20"/>
      <c r="N747" s="25">
        <v>0</v>
      </c>
      <c r="O747" s="20"/>
      <c r="P747" s="25">
        <v>0</v>
      </c>
      <c r="Q747" s="20"/>
      <c r="R747" s="25">
        <v>0</v>
      </c>
    </row>
    <row r="748" spans="1:18" x14ac:dyDescent="0.2">
      <c r="A748" s="20"/>
      <c r="B748" s="20"/>
      <c r="C748" s="20" t="s">
        <v>340</v>
      </c>
      <c r="D748" s="20"/>
      <c r="E748" s="20"/>
      <c r="F748" s="31">
        <f t="shared" si="97"/>
        <v>0</v>
      </c>
      <c r="G748" s="20"/>
      <c r="H748" s="25">
        <v>0</v>
      </c>
      <c r="I748" s="20"/>
      <c r="J748" s="25">
        <v>0</v>
      </c>
      <c r="K748" s="20"/>
      <c r="L748" s="25">
        <v>0</v>
      </c>
      <c r="M748" s="20"/>
      <c r="N748" s="25">
        <v>0</v>
      </c>
      <c r="O748" s="20"/>
      <c r="P748" s="25">
        <v>0</v>
      </c>
      <c r="Q748" s="20"/>
      <c r="R748" s="25">
        <v>0</v>
      </c>
    </row>
    <row r="749" spans="1:18" x14ac:dyDescent="0.2">
      <c r="A749" s="20"/>
      <c r="B749" s="20"/>
      <c r="C749" s="20" t="s">
        <v>341</v>
      </c>
      <c r="D749" s="20"/>
      <c r="E749" s="20"/>
      <c r="F749" s="31">
        <f t="shared" si="97"/>
        <v>1068000</v>
      </c>
      <c r="G749" s="20"/>
      <c r="H749" s="25">
        <v>859000</v>
      </c>
      <c r="I749" s="20"/>
      <c r="J749" s="25">
        <v>181000</v>
      </c>
      <c r="K749" s="20"/>
      <c r="L749" s="25">
        <v>28000</v>
      </c>
      <c r="M749" s="20"/>
      <c r="N749" s="25">
        <v>626000</v>
      </c>
      <c r="O749" s="20"/>
      <c r="P749" s="25">
        <v>442000</v>
      </c>
      <c r="Q749" s="20"/>
      <c r="R749" s="25">
        <v>0</v>
      </c>
    </row>
    <row r="750" spans="1:18" x14ac:dyDescent="0.2">
      <c r="A750" s="20"/>
      <c r="B750" s="20"/>
      <c r="C750" s="20" t="s">
        <v>236</v>
      </c>
      <c r="D750" s="20"/>
      <c r="E750" s="20"/>
      <c r="F750" s="31">
        <f t="shared" si="97"/>
        <v>814000</v>
      </c>
      <c r="G750" s="20"/>
      <c r="H750" s="25">
        <v>2000</v>
      </c>
      <c r="I750" s="20"/>
      <c r="J750" s="25">
        <v>812000</v>
      </c>
      <c r="K750" s="20"/>
      <c r="L750" s="25">
        <v>0</v>
      </c>
      <c r="M750" s="20"/>
      <c r="N750" s="25">
        <v>1078000</v>
      </c>
      <c r="O750" s="20"/>
      <c r="P750" s="25">
        <v>711000</v>
      </c>
      <c r="Q750" s="20"/>
      <c r="R750" s="25">
        <v>975000</v>
      </c>
    </row>
    <row r="751" spans="1:18" x14ac:dyDescent="0.2">
      <c r="A751" s="20"/>
      <c r="B751" s="20"/>
      <c r="C751" s="20" t="s">
        <v>318</v>
      </c>
      <c r="D751" s="20"/>
      <c r="E751" s="20"/>
      <c r="F751" s="31">
        <f t="shared" si="97"/>
        <v>2393000</v>
      </c>
      <c r="G751" s="20"/>
      <c r="H751" s="25">
        <v>785000</v>
      </c>
      <c r="I751" s="20"/>
      <c r="J751" s="25">
        <v>528000</v>
      </c>
      <c r="K751" s="20"/>
      <c r="L751" s="25">
        <v>1080000</v>
      </c>
      <c r="M751" s="20"/>
      <c r="N751" s="25">
        <v>1468000</v>
      </c>
      <c r="O751" s="20"/>
      <c r="P751" s="25">
        <v>935000</v>
      </c>
      <c r="Q751" s="20"/>
      <c r="R751" s="25">
        <v>10000</v>
      </c>
    </row>
    <row r="752" spans="1:18" x14ac:dyDescent="0.2">
      <c r="A752" s="20"/>
      <c r="B752" s="20"/>
      <c r="C752" s="20" t="s">
        <v>303</v>
      </c>
      <c r="D752" s="20"/>
      <c r="E752" s="20"/>
      <c r="F752" s="31">
        <f t="shared" si="97"/>
        <v>973000</v>
      </c>
      <c r="G752" s="20"/>
      <c r="H752" s="25">
        <v>417000</v>
      </c>
      <c r="I752" s="20"/>
      <c r="J752" s="25">
        <v>18000</v>
      </c>
      <c r="K752" s="20"/>
      <c r="L752" s="25">
        <v>538000</v>
      </c>
      <c r="M752" s="20"/>
      <c r="N752" s="25">
        <v>657000</v>
      </c>
      <c r="O752" s="20"/>
      <c r="P752" s="25">
        <v>316000</v>
      </c>
      <c r="Q752" s="20"/>
      <c r="R752" s="25">
        <v>0</v>
      </c>
    </row>
    <row r="753" spans="1:18" x14ac:dyDescent="0.2">
      <c r="A753" s="20"/>
      <c r="B753" s="20"/>
      <c r="C753" s="20" t="s">
        <v>342</v>
      </c>
      <c r="D753" s="20"/>
      <c r="E753" s="20"/>
      <c r="F753" s="31">
        <f t="shared" si="97"/>
        <v>-28000</v>
      </c>
      <c r="G753" s="20"/>
      <c r="H753" s="25">
        <v>237000</v>
      </c>
      <c r="I753" s="20"/>
      <c r="J753" s="25">
        <v>-265000</v>
      </c>
      <c r="K753" s="20"/>
      <c r="L753" s="25">
        <v>0</v>
      </c>
      <c r="M753" s="20"/>
      <c r="N753" s="25">
        <v>158000</v>
      </c>
      <c r="O753" s="20"/>
      <c r="P753" s="25">
        <v>1938000</v>
      </c>
      <c r="Q753" s="20"/>
      <c r="R753" s="25">
        <v>2124000</v>
      </c>
    </row>
    <row r="754" spans="1:18" x14ac:dyDescent="0.2">
      <c r="A754" s="20"/>
      <c r="B754" s="20"/>
      <c r="C754" s="20" t="s">
        <v>244</v>
      </c>
      <c r="D754" s="20"/>
      <c r="E754" s="20"/>
      <c r="F754" s="28">
        <f t="shared" si="97"/>
        <v>-58000</v>
      </c>
      <c r="G754" s="20"/>
      <c r="H754" s="27">
        <v>-25000</v>
      </c>
      <c r="I754" s="20"/>
      <c r="J754" s="27">
        <v>14000</v>
      </c>
      <c r="K754" s="20"/>
      <c r="L754" s="27">
        <v>-47000</v>
      </c>
      <c r="M754" s="20"/>
      <c r="N754" s="27">
        <v>-41000</v>
      </c>
      <c r="O754" s="20"/>
      <c r="P754" s="27">
        <v>-17000</v>
      </c>
      <c r="Q754" s="20"/>
      <c r="R754" s="27">
        <v>0</v>
      </c>
    </row>
    <row r="755" spans="1:18" x14ac:dyDescent="0.2">
      <c r="A755" s="20"/>
      <c r="B755" s="20"/>
      <c r="C755" s="20"/>
      <c r="D755" s="20"/>
      <c r="E755" s="20"/>
      <c r="F755" s="21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</row>
    <row r="756" spans="1:18" x14ac:dyDescent="0.2">
      <c r="A756" s="20"/>
      <c r="B756" s="20"/>
      <c r="C756" s="20"/>
      <c r="D756" s="20"/>
      <c r="E756" s="20" t="s">
        <v>3</v>
      </c>
      <c r="F756" s="28">
        <f>SUM(F716:F755)</f>
        <v>100891000</v>
      </c>
      <c r="G756" s="27">
        <f t="shared" ref="G756:R756" si="98">SUM(G716:G755)</f>
        <v>0</v>
      </c>
      <c r="H756" s="27">
        <f t="shared" si="98"/>
        <v>72722000</v>
      </c>
      <c r="I756" s="27">
        <f t="shared" si="98"/>
        <v>0</v>
      </c>
      <c r="J756" s="27">
        <f t="shared" si="98"/>
        <v>7359000</v>
      </c>
      <c r="K756" s="27">
        <f t="shared" si="98"/>
        <v>0</v>
      </c>
      <c r="L756" s="27">
        <f t="shared" si="98"/>
        <v>20810000</v>
      </c>
      <c r="M756" s="27">
        <f t="shared" si="98"/>
        <v>0</v>
      </c>
      <c r="N756" s="27">
        <f t="shared" si="98"/>
        <v>56096000</v>
      </c>
      <c r="O756" s="27">
        <f t="shared" si="98"/>
        <v>0</v>
      </c>
      <c r="P756" s="27">
        <f t="shared" si="98"/>
        <v>68188000</v>
      </c>
      <c r="Q756" s="27">
        <f t="shared" si="98"/>
        <v>0</v>
      </c>
      <c r="R756" s="27">
        <f t="shared" si="98"/>
        <v>23393000</v>
      </c>
    </row>
    <row r="757" spans="1:18" x14ac:dyDescent="0.2">
      <c r="A757" s="20"/>
      <c r="B757" s="20"/>
      <c r="C757" s="20"/>
      <c r="D757" s="20"/>
      <c r="E757" s="20"/>
      <c r="F757" s="21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</row>
    <row r="758" spans="1:18" x14ac:dyDescent="0.2">
      <c r="A758" s="20"/>
      <c r="B758" s="20"/>
      <c r="C758" s="20"/>
      <c r="D758" s="20"/>
      <c r="E758" s="20" t="s">
        <v>343</v>
      </c>
      <c r="F758" s="28">
        <f>F583+F677+F713+F756</f>
        <v>363490000</v>
      </c>
      <c r="G758" s="27">
        <f t="shared" ref="G758:R758" si="99">G583+G677+G713+G756</f>
        <v>0</v>
      </c>
      <c r="H758" s="27">
        <f t="shared" si="99"/>
        <v>-206174000</v>
      </c>
      <c r="I758" s="27">
        <f t="shared" si="99"/>
        <v>0</v>
      </c>
      <c r="J758" s="27">
        <f t="shared" si="99"/>
        <v>335837000</v>
      </c>
      <c r="K758" s="27">
        <f t="shared" si="99"/>
        <v>0</v>
      </c>
      <c r="L758" s="27">
        <f t="shared" si="99"/>
        <v>233827000</v>
      </c>
      <c r="M758" s="27">
        <f t="shared" si="99"/>
        <v>0</v>
      </c>
      <c r="N758" s="27">
        <f t="shared" si="99"/>
        <v>188082000</v>
      </c>
      <c r="O758" s="27">
        <f t="shared" si="99"/>
        <v>0</v>
      </c>
      <c r="P758" s="27">
        <f t="shared" si="99"/>
        <v>203068000</v>
      </c>
      <c r="Q758" s="27">
        <f t="shared" si="99"/>
        <v>0</v>
      </c>
      <c r="R758" s="27">
        <f t="shared" si="99"/>
        <v>27660000</v>
      </c>
    </row>
    <row r="759" spans="1:18" x14ac:dyDescent="0.2">
      <c r="A759" s="20"/>
      <c r="B759" s="20"/>
      <c r="C759" s="20"/>
      <c r="D759" s="20"/>
      <c r="E759" s="20"/>
      <c r="F759" s="21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</row>
    <row r="760" spans="1:18" x14ac:dyDescent="0.2">
      <c r="A760" s="22" t="s">
        <v>344</v>
      </c>
      <c r="B760" s="20"/>
      <c r="C760" s="20"/>
      <c r="D760" s="20"/>
      <c r="E760" s="20"/>
      <c r="F760" s="21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</row>
    <row r="761" spans="1:18" x14ac:dyDescent="0.2">
      <c r="A761" s="20"/>
      <c r="B761" s="20"/>
      <c r="C761" s="20"/>
      <c r="D761" s="20"/>
      <c r="E761" s="20"/>
      <c r="F761" s="21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</row>
    <row r="762" spans="1:18" x14ac:dyDescent="0.2">
      <c r="A762" s="20"/>
      <c r="B762" s="20" t="s">
        <v>345</v>
      </c>
      <c r="C762" s="20"/>
      <c r="D762" s="20"/>
      <c r="E762" s="20"/>
      <c r="F762" s="21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</row>
    <row r="763" spans="1:18" x14ac:dyDescent="0.2">
      <c r="A763" s="20"/>
      <c r="B763" s="20"/>
      <c r="C763" s="20" t="s">
        <v>33</v>
      </c>
      <c r="D763" s="20"/>
      <c r="E763" s="20"/>
      <c r="F763" s="21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</row>
    <row r="764" spans="1:18" x14ac:dyDescent="0.2">
      <c r="A764" s="20"/>
      <c r="B764" s="20"/>
      <c r="C764" s="20" t="s">
        <v>346</v>
      </c>
      <c r="D764" s="20"/>
      <c r="E764" s="20"/>
      <c r="F764" s="31">
        <f t="shared" ref="F764:F769" si="100">SUM(H764:L764)</f>
        <v>168000</v>
      </c>
      <c r="G764" s="20"/>
      <c r="H764" s="25">
        <v>-1000</v>
      </c>
      <c r="I764" s="20"/>
      <c r="J764" s="25">
        <v>169000</v>
      </c>
      <c r="K764" s="20"/>
      <c r="L764" s="25">
        <v>0</v>
      </c>
      <c r="M764" s="20"/>
      <c r="N764" s="25">
        <v>109000</v>
      </c>
      <c r="O764" s="20"/>
      <c r="P764" s="25">
        <v>59000</v>
      </c>
      <c r="Q764" s="20"/>
      <c r="R764" s="25">
        <v>0</v>
      </c>
    </row>
    <row r="765" spans="1:18" x14ac:dyDescent="0.2">
      <c r="A765" s="20"/>
      <c r="B765" s="20"/>
      <c r="C765" s="20" t="s">
        <v>347</v>
      </c>
      <c r="D765" s="20"/>
      <c r="E765" s="20"/>
      <c r="F765" s="31">
        <f t="shared" si="100"/>
        <v>0</v>
      </c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</row>
    <row r="766" spans="1:18" x14ac:dyDescent="0.2">
      <c r="A766" s="20"/>
      <c r="B766" s="20"/>
      <c r="C766" s="20" t="s">
        <v>348</v>
      </c>
      <c r="D766" s="20"/>
      <c r="E766" s="20"/>
      <c r="F766" s="31">
        <f t="shared" si="100"/>
        <v>0</v>
      </c>
      <c r="G766" s="20"/>
      <c r="H766" s="25">
        <v>0</v>
      </c>
      <c r="I766" s="20"/>
      <c r="J766" s="25">
        <v>0</v>
      </c>
      <c r="K766" s="20"/>
      <c r="L766" s="25">
        <v>0</v>
      </c>
      <c r="M766" s="20"/>
      <c r="N766" s="25">
        <v>0</v>
      </c>
      <c r="O766" s="20"/>
      <c r="P766" s="25">
        <v>0</v>
      </c>
      <c r="Q766" s="20"/>
      <c r="R766" s="25">
        <v>0</v>
      </c>
    </row>
    <row r="767" spans="1:18" x14ac:dyDescent="0.2">
      <c r="A767" s="20"/>
      <c r="B767" s="20"/>
      <c r="C767" s="20" t="s">
        <v>349</v>
      </c>
      <c r="D767" s="20"/>
      <c r="E767" s="20"/>
      <c r="F767" s="31">
        <f t="shared" si="100"/>
        <v>25000</v>
      </c>
      <c r="G767" s="20"/>
      <c r="H767" s="25">
        <v>0</v>
      </c>
      <c r="I767" s="20"/>
      <c r="J767" s="25">
        <v>25000</v>
      </c>
      <c r="K767" s="20"/>
      <c r="L767" s="25">
        <v>0</v>
      </c>
      <c r="M767" s="20"/>
      <c r="N767" s="25">
        <v>23000</v>
      </c>
      <c r="O767" s="20"/>
      <c r="P767" s="25">
        <v>2000</v>
      </c>
      <c r="Q767" s="20"/>
      <c r="R767" s="25">
        <v>0</v>
      </c>
    </row>
    <row r="768" spans="1:18" x14ac:dyDescent="0.2">
      <c r="A768" s="20"/>
      <c r="B768" s="20"/>
      <c r="C768" s="20" t="s">
        <v>350</v>
      </c>
      <c r="D768" s="20"/>
      <c r="E768" s="20"/>
      <c r="F768" s="31">
        <f t="shared" si="100"/>
        <v>0</v>
      </c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</row>
    <row r="769" spans="1:18" x14ac:dyDescent="0.2">
      <c r="A769" s="20"/>
      <c r="B769" s="20"/>
      <c r="C769" s="20" t="s">
        <v>351</v>
      </c>
      <c r="D769" s="20"/>
      <c r="E769" s="20" t="s">
        <v>352</v>
      </c>
      <c r="F769" s="28">
        <f t="shared" si="100"/>
        <v>860000</v>
      </c>
      <c r="G769" s="20"/>
      <c r="H769" s="27">
        <v>-1000</v>
      </c>
      <c r="I769" s="20"/>
      <c r="J769" s="27">
        <v>264000</v>
      </c>
      <c r="K769" s="20"/>
      <c r="L769" s="27">
        <v>597000</v>
      </c>
      <c r="M769" s="20"/>
      <c r="N769" s="27">
        <v>542000</v>
      </c>
      <c r="O769" s="20"/>
      <c r="P769" s="27">
        <v>316000</v>
      </c>
      <c r="Q769" s="20"/>
      <c r="R769" s="27">
        <v>-2000</v>
      </c>
    </row>
    <row r="770" spans="1:18" x14ac:dyDescent="0.2">
      <c r="A770" s="20"/>
      <c r="B770" s="20"/>
      <c r="C770" s="20"/>
      <c r="D770" s="20"/>
      <c r="E770" s="20"/>
      <c r="F770" s="21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</row>
    <row r="771" spans="1:18" x14ac:dyDescent="0.2">
      <c r="A771" s="20"/>
      <c r="B771" s="20"/>
      <c r="C771" s="20"/>
      <c r="D771" s="20"/>
      <c r="E771" s="20" t="s">
        <v>3</v>
      </c>
      <c r="F771" s="28">
        <f>SUM(F764:F770)</f>
        <v>1053000</v>
      </c>
      <c r="G771" s="27">
        <f t="shared" ref="G771:R771" si="101">SUM(G764:G770)</f>
        <v>0</v>
      </c>
      <c r="H771" s="27">
        <f t="shared" si="101"/>
        <v>-2000</v>
      </c>
      <c r="I771" s="27">
        <f t="shared" si="101"/>
        <v>0</v>
      </c>
      <c r="J771" s="27">
        <f t="shared" si="101"/>
        <v>458000</v>
      </c>
      <c r="K771" s="27">
        <f t="shared" si="101"/>
        <v>0</v>
      </c>
      <c r="L771" s="27">
        <f t="shared" si="101"/>
        <v>597000</v>
      </c>
      <c r="M771" s="27">
        <f t="shared" si="101"/>
        <v>0</v>
      </c>
      <c r="N771" s="27">
        <f t="shared" si="101"/>
        <v>674000</v>
      </c>
      <c r="O771" s="27">
        <f t="shared" si="101"/>
        <v>0</v>
      </c>
      <c r="P771" s="27">
        <f t="shared" si="101"/>
        <v>377000</v>
      </c>
      <c r="Q771" s="27">
        <f t="shared" si="101"/>
        <v>0</v>
      </c>
      <c r="R771" s="27">
        <f t="shared" si="101"/>
        <v>-2000</v>
      </c>
    </row>
    <row r="772" spans="1:18" x14ac:dyDescent="0.2">
      <c r="A772" s="20"/>
      <c r="B772" s="20"/>
      <c r="C772" s="20"/>
      <c r="D772" s="20"/>
      <c r="E772" s="20"/>
      <c r="F772" s="21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</row>
    <row r="773" spans="1:18" x14ac:dyDescent="0.2">
      <c r="A773" s="20"/>
      <c r="B773" s="20" t="s">
        <v>353</v>
      </c>
      <c r="C773" s="20"/>
      <c r="D773" s="20"/>
      <c r="E773" s="20"/>
      <c r="F773" s="21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</row>
    <row r="774" spans="1:18" x14ac:dyDescent="0.2">
      <c r="A774" s="20"/>
      <c r="B774" s="20"/>
      <c r="C774" s="20" t="s">
        <v>354</v>
      </c>
      <c r="D774" s="20"/>
      <c r="E774" s="20"/>
      <c r="F774" s="21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</row>
    <row r="775" spans="1:18" x14ac:dyDescent="0.2">
      <c r="A775" s="20"/>
      <c r="B775" s="20"/>
      <c r="C775" s="20" t="s">
        <v>355</v>
      </c>
      <c r="D775" s="20"/>
      <c r="E775" s="20"/>
      <c r="F775" s="28">
        <f t="shared" ref="F775" si="102">SUM(H775:L775)</f>
        <v>2961000</v>
      </c>
      <c r="G775" s="20"/>
      <c r="H775" s="27">
        <v>1000</v>
      </c>
      <c r="I775" s="20"/>
      <c r="J775" s="27">
        <v>2925000</v>
      </c>
      <c r="K775" s="20"/>
      <c r="L775" s="27">
        <v>35000</v>
      </c>
      <c r="M775" s="20"/>
      <c r="N775" s="27">
        <v>1794000</v>
      </c>
      <c r="O775" s="20"/>
      <c r="P775" s="27">
        <v>1167000</v>
      </c>
      <c r="Q775" s="20"/>
      <c r="R775" s="27">
        <v>0</v>
      </c>
    </row>
    <row r="776" spans="1:18" x14ac:dyDescent="0.2">
      <c r="A776" s="20"/>
      <c r="B776" s="20"/>
      <c r="C776" s="20"/>
      <c r="D776" s="20"/>
      <c r="E776" s="20"/>
      <c r="F776" s="21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</row>
    <row r="777" spans="1:18" x14ac:dyDescent="0.2">
      <c r="A777" s="20"/>
      <c r="B777" s="20"/>
      <c r="C777" s="20" t="s">
        <v>356</v>
      </c>
      <c r="D777" s="20"/>
      <c r="E777" s="20"/>
      <c r="F777" s="21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</row>
    <row r="778" spans="1:18" x14ac:dyDescent="0.2">
      <c r="A778" s="20"/>
      <c r="B778" s="20"/>
      <c r="C778" s="20"/>
      <c r="D778" s="20"/>
      <c r="E778" s="20" t="s">
        <v>357</v>
      </c>
      <c r="F778" s="31">
        <f t="shared" ref="F778:F779" si="103">SUM(H778:L778)</f>
        <v>496000</v>
      </c>
      <c r="G778" s="20"/>
      <c r="H778" s="25">
        <v>0</v>
      </c>
      <c r="I778" s="20"/>
      <c r="J778" s="25">
        <v>449000</v>
      </c>
      <c r="K778" s="20"/>
      <c r="L778" s="25">
        <v>47000</v>
      </c>
      <c r="M778" s="20"/>
      <c r="N778" s="25">
        <v>313000</v>
      </c>
      <c r="O778" s="20"/>
      <c r="P778" s="25">
        <v>183000</v>
      </c>
      <c r="Q778" s="20"/>
      <c r="R778" s="25">
        <v>0</v>
      </c>
    </row>
    <row r="779" spans="1:18" x14ac:dyDescent="0.2">
      <c r="A779" s="20"/>
      <c r="B779" s="20"/>
      <c r="C779" s="20"/>
      <c r="D779" s="20"/>
      <c r="E779" s="20" t="s">
        <v>358</v>
      </c>
      <c r="F779" s="28">
        <f t="shared" si="103"/>
        <v>1393000</v>
      </c>
      <c r="G779" s="20"/>
      <c r="H779" s="27">
        <v>0</v>
      </c>
      <c r="I779" s="20"/>
      <c r="J779" s="27">
        <v>898000</v>
      </c>
      <c r="K779" s="20"/>
      <c r="L779" s="27">
        <v>495000</v>
      </c>
      <c r="M779" s="20"/>
      <c r="N779" s="27">
        <v>458000</v>
      </c>
      <c r="O779" s="20"/>
      <c r="P779" s="27">
        <v>945000</v>
      </c>
      <c r="Q779" s="20"/>
      <c r="R779" s="27">
        <v>10000</v>
      </c>
    </row>
    <row r="780" spans="1:18" x14ac:dyDescent="0.2">
      <c r="A780" s="20"/>
      <c r="B780" s="20"/>
      <c r="C780" s="20"/>
      <c r="D780" s="20"/>
      <c r="E780" s="20"/>
      <c r="F780" s="21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</row>
    <row r="781" spans="1:18" x14ac:dyDescent="0.2">
      <c r="A781" s="20"/>
      <c r="B781" s="20"/>
      <c r="C781" s="20"/>
      <c r="D781" s="20"/>
      <c r="E781" s="20" t="s">
        <v>3</v>
      </c>
      <c r="F781" s="28">
        <f>SUM(F778:F780)</f>
        <v>1889000</v>
      </c>
      <c r="G781" s="27">
        <f t="shared" ref="G781:R781" si="104">SUM(G778:G780)</f>
        <v>0</v>
      </c>
      <c r="H781" s="27">
        <f t="shared" si="104"/>
        <v>0</v>
      </c>
      <c r="I781" s="27">
        <f t="shared" si="104"/>
        <v>0</v>
      </c>
      <c r="J781" s="27">
        <f t="shared" si="104"/>
        <v>1347000</v>
      </c>
      <c r="K781" s="27">
        <f t="shared" si="104"/>
        <v>0</v>
      </c>
      <c r="L781" s="27">
        <f t="shared" si="104"/>
        <v>542000</v>
      </c>
      <c r="M781" s="27">
        <f t="shared" si="104"/>
        <v>0</v>
      </c>
      <c r="N781" s="27">
        <f t="shared" si="104"/>
        <v>771000</v>
      </c>
      <c r="O781" s="27">
        <f t="shared" si="104"/>
        <v>0</v>
      </c>
      <c r="P781" s="27">
        <f t="shared" si="104"/>
        <v>1128000</v>
      </c>
      <c r="Q781" s="27">
        <f t="shared" si="104"/>
        <v>0</v>
      </c>
      <c r="R781" s="27">
        <f t="shared" si="104"/>
        <v>10000</v>
      </c>
    </row>
    <row r="782" spans="1:18" x14ac:dyDescent="0.2">
      <c r="A782" s="20"/>
      <c r="B782" s="20"/>
      <c r="C782" s="20"/>
      <c r="D782" s="20"/>
      <c r="E782" s="20"/>
      <c r="F782" s="21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</row>
    <row r="783" spans="1:18" x14ac:dyDescent="0.2">
      <c r="A783" s="20"/>
      <c r="B783" s="20"/>
      <c r="C783" s="20" t="s">
        <v>359</v>
      </c>
      <c r="D783" s="20"/>
      <c r="E783" s="20"/>
      <c r="F783" s="21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</row>
    <row r="784" spans="1:18" x14ac:dyDescent="0.2">
      <c r="A784" s="20"/>
      <c r="B784" s="20"/>
      <c r="C784" s="20"/>
      <c r="D784" s="20"/>
      <c r="E784" s="20" t="s">
        <v>360</v>
      </c>
      <c r="F784" s="31">
        <f t="shared" ref="F784:F792" si="105">SUM(H784:L784)</f>
        <v>1028000</v>
      </c>
      <c r="G784" s="20"/>
      <c r="H784" s="25">
        <v>78000</v>
      </c>
      <c r="I784" s="20"/>
      <c r="J784" s="25">
        <v>68000</v>
      </c>
      <c r="K784" s="20"/>
      <c r="L784" s="25">
        <v>882000</v>
      </c>
      <c r="M784" s="20"/>
      <c r="N784" s="25">
        <v>572000</v>
      </c>
      <c r="O784" s="20"/>
      <c r="P784" s="25">
        <v>456000</v>
      </c>
      <c r="Q784" s="20"/>
      <c r="R784" s="25">
        <v>0</v>
      </c>
    </row>
    <row r="785" spans="1:18" x14ac:dyDescent="0.2">
      <c r="A785" s="20"/>
      <c r="B785" s="20"/>
      <c r="C785" s="20"/>
      <c r="D785" s="20"/>
      <c r="E785" s="20" t="s">
        <v>361</v>
      </c>
      <c r="F785" s="31">
        <f t="shared" si="105"/>
        <v>0</v>
      </c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</row>
    <row r="786" spans="1:18" x14ac:dyDescent="0.2">
      <c r="A786" s="20"/>
      <c r="B786" s="20"/>
      <c r="C786" s="20"/>
      <c r="D786" s="20"/>
      <c r="E786" s="20" t="s">
        <v>362</v>
      </c>
      <c r="F786" s="31">
        <f t="shared" si="105"/>
        <v>459000</v>
      </c>
      <c r="G786" s="20"/>
      <c r="H786" s="25">
        <v>51000</v>
      </c>
      <c r="I786" s="20"/>
      <c r="J786" s="25">
        <v>396000</v>
      </c>
      <c r="K786" s="20"/>
      <c r="L786" s="25">
        <v>12000</v>
      </c>
      <c r="M786" s="20"/>
      <c r="N786" s="25">
        <v>181000</v>
      </c>
      <c r="O786" s="20"/>
      <c r="P786" s="25">
        <v>278000</v>
      </c>
      <c r="Q786" s="20"/>
      <c r="R786" s="25">
        <v>0</v>
      </c>
    </row>
    <row r="787" spans="1:18" x14ac:dyDescent="0.2">
      <c r="A787" s="20"/>
      <c r="B787" s="20"/>
      <c r="C787" s="20"/>
      <c r="D787" s="20"/>
      <c r="E787" s="20" t="s">
        <v>363</v>
      </c>
      <c r="F787" s="31">
        <f t="shared" si="105"/>
        <v>0</v>
      </c>
      <c r="G787" s="20"/>
      <c r="H787" s="25">
        <v>0</v>
      </c>
      <c r="I787" s="20"/>
      <c r="J787" s="25">
        <v>0</v>
      </c>
      <c r="K787" s="20"/>
      <c r="L787" s="25">
        <v>0</v>
      </c>
      <c r="M787" s="20"/>
      <c r="N787" s="25">
        <v>0</v>
      </c>
      <c r="O787" s="20"/>
      <c r="P787" s="25">
        <v>0</v>
      </c>
      <c r="Q787" s="20"/>
      <c r="R787" s="25">
        <v>0</v>
      </c>
    </row>
    <row r="788" spans="1:18" x14ac:dyDescent="0.2">
      <c r="A788" s="20"/>
      <c r="B788" s="20"/>
      <c r="C788" s="20"/>
      <c r="D788" s="20"/>
      <c r="E788" s="20" t="s">
        <v>364</v>
      </c>
      <c r="F788" s="31">
        <f t="shared" si="105"/>
        <v>6007000</v>
      </c>
      <c r="G788" s="20"/>
      <c r="H788" s="25">
        <v>0</v>
      </c>
      <c r="I788" s="20"/>
      <c r="J788" s="25">
        <v>5847000</v>
      </c>
      <c r="K788" s="20"/>
      <c r="L788" s="25">
        <v>160000</v>
      </c>
      <c r="M788" s="20"/>
      <c r="N788" s="25">
        <v>3674000</v>
      </c>
      <c r="O788" s="20"/>
      <c r="P788" s="25">
        <v>2333000</v>
      </c>
      <c r="Q788" s="20"/>
      <c r="R788" s="25">
        <v>0</v>
      </c>
    </row>
    <row r="789" spans="1:18" x14ac:dyDescent="0.2">
      <c r="A789" s="20"/>
      <c r="B789" s="20"/>
      <c r="C789" s="20"/>
      <c r="D789" s="20"/>
      <c r="E789" s="20" t="s">
        <v>365</v>
      </c>
      <c r="F789" s="31">
        <f t="shared" si="105"/>
        <v>347000</v>
      </c>
      <c r="G789" s="20"/>
      <c r="H789" s="25">
        <v>0</v>
      </c>
      <c r="I789" s="20"/>
      <c r="J789" s="25">
        <v>340000</v>
      </c>
      <c r="K789" s="20"/>
      <c r="L789" s="25">
        <v>7000</v>
      </c>
      <c r="M789" s="20"/>
      <c r="N789" s="25">
        <v>159000</v>
      </c>
      <c r="O789" s="20"/>
      <c r="P789" s="25">
        <v>188000</v>
      </c>
      <c r="Q789" s="20"/>
      <c r="R789" s="25">
        <v>0</v>
      </c>
    </row>
    <row r="790" spans="1:18" x14ac:dyDescent="0.2">
      <c r="A790" s="20"/>
      <c r="B790" s="20"/>
      <c r="C790" s="20"/>
      <c r="D790" s="20"/>
      <c r="E790" s="20" t="s">
        <v>366</v>
      </c>
      <c r="F790" s="31">
        <f t="shared" si="105"/>
        <v>1912000</v>
      </c>
      <c r="G790" s="20"/>
      <c r="H790" s="25">
        <v>41000</v>
      </c>
      <c r="I790" s="20"/>
      <c r="J790" s="25">
        <v>1855000</v>
      </c>
      <c r="K790" s="20"/>
      <c r="L790" s="25">
        <v>16000</v>
      </c>
      <c r="M790" s="20"/>
      <c r="N790" s="25">
        <v>543000</v>
      </c>
      <c r="O790" s="20"/>
      <c r="P790" s="25">
        <v>1369000</v>
      </c>
      <c r="Q790" s="20"/>
      <c r="R790" s="25">
        <v>0</v>
      </c>
    </row>
    <row r="791" spans="1:18" x14ac:dyDescent="0.2">
      <c r="A791" s="20"/>
      <c r="B791" s="20"/>
      <c r="C791" s="20"/>
      <c r="D791" s="20"/>
      <c r="E791" s="20" t="s">
        <v>367</v>
      </c>
      <c r="F791" s="31">
        <f t="shared" si="105"/>
        <v>9339000</v>
      </c>
      <c r="G791" s="20"/>
      <c r="H791" s="25">
        <v>106000</v>
      </c>
      <c r="I791" s="20"/>
      <c r="J791" s="25">
        <v>9097000</v>
      </c>
      <c r="K791" s="20"/>
      <c r="L791" s="25">
        <v>136000</v>
      </c>
      <c r="M791" s="20"/>
      <c r="N791" s="25">
        <v>5581000</v>
      </c>
      <c r="O791" s="20"/>
      <c r="P791" s="25">
        <v>3758000</v>
      </c>
      <c r="Q791" s="20"/>
      <c r="R791" s="25">
        <v>0</v>
      </c>
    </row>
    <row r="792" spans="1:18" x14ac:dyDescent="0.2">
      <c r="A792" s="20"/>
      <c r="B792" s="20"/>
      <c r="C792" s="20"/>
      <c r="D792" s="20"/>
      <c r="E792" s="20" t="s">
        <v>368</v>
      </c>
      <c r="F792" s="28">
        <f t="shared" si="105"/>
        <v>1735000</v>
      </c>
      <c r="G792" s="20"/>
      <c r="H792" s="27">
        <v>7000</v>
      </c>
      <c r="I792" s="20"/>
      <c r="J792" s="27">
        <v>1287000</v>
      </c>
      <c r="K792" s="20"/>
      <c r="L792" s="27">
        <v>441000</v>
      </c>
      <c r="M792" s="20"/>
      <c r="N792" s="27">
        <v>780000</v>
      </c>
      <c r="O792" s="20"/>
      <c r="P792" s="27">
        <v>955000</v>
      </c>
      <c r="Q792" s="20"/>
      <c r="R792" s="27">
        <v>0</v>
      </c>
    </row>
    <row r="793" spans="1:18" x14ac:dyDescent="0.2">
      <c r="A793" s="20"/>
      <c r="B793" s="20"/>
      <c r="C793" s="20"/>
      <c r="D793" s="20"/>
      <c r="E793" s="20"/>
      <c r="F793" s="21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</row>
    <row r="794" spans="1:18" x14ac:dyDescent="0.2">
      <c r="A794" s="20"/>
      <c r="B794" s="20"/>
      <c r="C794" s="20"/>
      <c r="D794" s="20"/>
      <c r="E794" s="20" t="s">
        <v>3</v>
      </c>
      <c r="F794" s="28">
        <f>SUM(F784:F793)</f>
        <v>20827000</v>
      </c>
      <c r="G794" s="27">
        <f t="shared" ref="G794:R794" si="106">SUM(G784:G793)</f>
        <v>0</v>
      </c>
      <c r="H794" s="27">
        <f t="shared" si="106"/>
        <v>283000</v>
      </c>
      <c r="I794" s="27">
        <f t="shared" si="106"/>
        <v>0</v>
      </c>
      <c r="J794" s="27">
        <f t="shared" si="106"/>
        <v>18890000</v>
      </c>
      <c r="K794" s="27">
        <f t="shared" si="106"/>
        <v>0</v>
      </c>
      <c r="L794" s="27">
        <f t="shared" si="106"/>
        <v>1654000</v>
      </c>
      <c r="M794" s="27">
        <f t="shared" si="106"/>
        <v>0</v>
      </c>
      <c r="N794" s="27">
        <f t="shared" si="106"/>
        <v>11490000</v>
      </c>
      <c r="O794" s="27">
        <f t="shared" si="106"/>
        <v>0</v>
      </c>
      <c r="P794" s="27">
        <f t="shared" si="106"/>
        <v>9337000</v>
      </c>
      <c r="Q794" s="27">
        <f t="shared" si="106"/>
        <v>0</v>
      </c>
      <c r="R794" s="27">
        <f t="shared" si="106"/>
        <v>0</v>
      </c>
    </row>
    <row r="795" spans="1:18" x14ac:dyDescent="0.2">
      <c r="A795" s="20"/>
      <c r="B795" s="20"/>
      <c r="C795" s="20"/>
      <c r="D795" s="20"/>
      <c r="E795" s="20"/>
      <c r="F795" s="21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</row>
    <row r="796" spans="1:18" x14ac:dyDescent="0.2">
      <c r="A796" s="20"/>
      <c r="B796" s="20"/>
      <c r="C796" s="20" t="s">
        <v>369</v>
      </c>
      <c r="D796" s="20"/>
      <c r="E796" s="20"/>
      <c r="F796" s="21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</row>
    <row r="797" spans="1:18" x14ac:dyDescent="0.2">
      <c r="A797" s="20"/>
      <c r="B797" s="20"/>
      <c r="C797" s="20"/>
      <c r="D797" s="20"/>
      <c r="E797" s="20" t="s">
        <v>370</v>
      </c>
      <c r="F797" s="31">
        <f t="shared" ref="F797:F799" si="107">SUM(H797:L797)</f>
        <v>122000</v>
      </c>
      <c r="G797" s="20"/>
      <c r="H797" s="25">
        <v>122000</v>
      </c>
      <c r="I797" s="20"/>
      <c r="J797" s="25">
        <v>0</v>
      </c>
      <c r="K797" s="20"/>
      <c r="L797" s="25">
        <v>0</v>
      </c>
      <c r="M797" s="20"/>
      <c r="N797" s="25">
        <v>80000</v>
      </c>
      <c r="O797" s="20"/>
      <c r="P797" s="25">
        <v>42000</v>
      </c>
      <c r="Q797" s="20"/>
      <c r="R797" s="25">
        <v>0</v>
      </c>
    </row>
    <row r="798" spans="1:18" x14ac:dyDescent="0.2">
      <c r="A798" s="20"/>
      <c r="B798" s="20"/>
      <c r="C798" s="20"/>
      <c r="D798" s="20"/>
      <c r="E798" s="20" t="s">
        <v>371</v>
      </c>
      <c r="F798" s="31">
        <f t="shared" si="107"/>
        <v>49227000</v>
      </c>
      <c r="G798" s="20"/>
      <c r="H798" s="25">
        <v>0</v>
      </c>
      <c r="I798" s="20"/>
      <c r="J798" s="25">
        <v>38526000</v>
      </c>
      <c r="K798" s="20"/>
      <c r="L798" s="25">
        <v>10701000</v>
      </c>
      <c r="M798" s="20"/>
      <c r="N798" s="25">
        <v>19974000</v>
      </c>
      <c r="O798" s="20"/>
      <c r="P798" s="25">
        <v>30054000</v>
      </c>
      <c r="Q798" s="20"/>
      <c r="R798" s="25">
        <v>801000</v>
      </c>
    </row>
    <row r="799" spans="1:18" x14ac:dyDescent="0.2">
      <c r="A799" s="20"/>
      <c r="B799" s="20"/>
      <c r="C799" s="20"/>
      <c r="D799" s="20"/>
      <c r="E799" s="20" t="s">
        <v>372</v>
      </c>
      <c r="F799" s="28">
        <f t="shared" si="107"/>
        <v>9394000</v>
      </c>
      <c r="G799" s="20"/>
      <c r="H799" s="27">
        <v>0</v>
      </c>
      <c r="I799" s="20"/>
      <c r="J799" s="27">
        <v>9286000</v>
      </c>
      <c r="K799" s="20"/>
      <c r="L799" s="27">
        <v>108000</v>
      </c>
      <c r="M799" s="20"/>
      <c r="N799" s="27">
        <v>4680000</v>
      </c>
      <c r="O799" s="20"/>
      <c r="P799" s="27">
        <v>4726000</v>
      </c>
      <c r="Q799" s="20"/>
      <c r="R799" s="27">
        <v>12000</v>
      </c>
    </row>
    <row r="800" spans="1:18" x14ac:dyDescent="0.2">
      <c r="A800" s="20"/>
      <c r="B800" s="20"/>
      <c r="C800" s="20"/>
      <c r="D800" s="20"/>
      <c r="E800" s="20"/>
      <c r="F800" s="21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</row>
    <row r="801" spans="1:18" x14ac:dyDescent="0.2">
      <c r="A801" s="20"/>
      <c r="B801" s="20"/>
      <c r="C801" s="20"/>
      <c r="D801" s="20"/>
      <c r="E801" s="20" t="s">
        <v>3</v>
      </c>
      <c r="F801" s="28">
        <f>SUM(F797:F800)</f>
        <v>58743000</v>
      </c>
      <c r="G801" s="27">
        <f t="shared" ref="G801:R801" si="108">SUM(G797:G800)</f>
        <v>0</v>
      </c>
      <c r="H801" s="27">
        <f t="shared" si="108"/>
        <v>122000</v>
      </c>
      <c r="I801" s="27">
        <f t="shared" si="108"/>
        <v>0</v>
      </c>
      <c r="J801" s="27">
        <f t="shared" si="108"/>
        <v>47812000</v>
      </c>
      <c r="K801" s="27">
        <f t="shared" si="108"/>
        <v>0</v>
      </c>
      <c r="L801" s="27">
        <f t="shared" si="108"/>
        <v>10809000</v>
      </c>
      <c r="M801" s="27">
        <f t="shared" si="108"/>
        <v>0</v>
      </c>
      <c r="N801" s="27">
        <f t="shared" si="108"/>
        <v>24734000</v>
      </c>
      <c r="O801" s="27">
        <f t="shared" si="108"/>
        <v>0</v>
      </c>
      <c r="P801" s="27">
        <f t="shared" si="108"/>
        <v>34822000</v>
      </c>
      <c r="Q801" s="27">
        <f t="shared" si="108"/>
        <v>0</v>
      </c>
      <c r="R801" s="27">
        <f t="shared" si="108"/>
        <v>813000</v>
      </c>
    </row>
    <row r="802" spans="1:18" x14ac:dyDescent="0.2">
      <c r="A802" s="20"/>
      <c r="B802" s="20"/>
      <c r="C802" s="20"/>
      <c r="D802" s="20"/>
      <c r="E802" s="20"/>
      <c r="F802" s="21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</row>
    <row r="803" spans="1:18" x14ac:dyDescent="0.2">
      <c r="A803" s="20"/>
      <c r="B803" s="20"/>
      <c r="C803" s="20"/>
      <c r="D803" s="20"/>
      <c r="E803" s="20" t="s">
        <v>373</v>
      </c>
      <c r="F803" s="28">
        <f>F775+F781+F794+F801</f>
        <v>84420000</v>
      </c>
      <c r="G803" s="27">
        <f t="shared" ref="G803:R803" si="109">G775+G781+G794+G801</f>
        <v>0</v>
      </c>
      <c r="H803" s="27">
        <f t="shared" si="109"/>
        <v>406000</v>
      </c>
      <c r="I803" s="27">
        <f t="shared" si="109"/>
        <v>0</v>
      </c>
      <c r="J803" s="27">
        <f t="shared" si="109"/>
        <v>70974000</v>
      </c>
      <c r="K803" s="27">
        <f t="shared" si="109"/>
        <v>0</v>
      </c>
      <c r="L803" s="27">
        <f t="shared" si="109"/>
        <v>13040000</v>
      </c>
      <c r="M803" s="27">
        <f t="shared" si="109"/>
        <v>0</v>
      </c>
      <c r="N803" s="27">
        <f t="shared" si="109"/>
        <v>38789000</v>
      </c>
      <c r="O803" s="27">
        <f t="shared" si="109"/>
        <v>0</v>
      </c>
      <c r="P803" s="27">
        <f t="shared" si="109"/>
        <v>46454000</v>
      </c>
      <c r="Q803" s="27">
        <f t="shared" si="109"/>
        <v>0</v>
      </c>
      <c r="R803" s="27">
        <f t="shared" si="109"/>
        <v>823000</v>
      </c>
    </row>
    <row r="804" spans="1:18" x14ac:dyDescent="0.2">
      <c r="A804" s="20"/>
      <c r="B804" s="20"/>
      <c r="C804" s="20"/>
      <c r="D804" s="20"/>
      <c r="E804" s="20"/>
      <c r="F804" s="21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</row>
    <row r="805" spans="1:18" x14ac:dyDescent="0.2">
      <c r="A805" s="20"/>
      <c r="B805" s="20" t="s">
        <v>374</v>
      </c>
      <c r="C805" s="20"/>
      <c r="D805" s="20"/>
      <c r="E805" s="20"/>
      <c r="F805" s="21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</row>
    <row r="806" spans="1:18" x14ac:dyDescent="0.2">
      <c r="A806" s="20"/>
      <c r="B806" s="20"/>
      <c r="C806" s="20" t="s">
        <v>375</v>
      </c>
      <c r="D806" s="20"/>
      <c r="E806" s="20"/>
      <c r="F806" s="21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</row>
    <row r="807" spans="1:18" x14ac:dyDescent="0.2">
      <c r="A807" s="20"/>
      <c r="B807" s="20"/>
      <c r="C807" s="20" t="s">
        <v>376</v>
      </c>
      <c r="D807" s="20"/>
      <c r="E807" s="20"/>
      <c r="F807" s="31">
        <f t="shared" ref="F807:F811" si="110">SUM(H807:L807)</f>
        <v>2440000</v>
      </c>
      <c r="G807" s="20"/>
      <c r="H807" s="25">
        <v>1435000</v>
      </c>
      <c r="I807" s="20"/>
      <c r="J807" s="25">
        <v>594000</v>
      </c>
      <c r="K807" s="20"/>
      <c r="L807" s="25">
        <v>411000</v>
      </c>
      <c r="M807" s="20"/>
      <c r="N807" s="25">
        <v>1531000</v>
      </c>
      <c r="O807" s="20"/>
      <c r="P807" s="25">
        <v>909000</v>
      </c>
      <c r="Q807" s="20"/>
      <c r="R807" s="25">
        <v>0</v>
      </c>
    </row>
    <row r="808" spans="1:18" x14ac:dyDescent="0.2">
      <c r="A808" s="20"/>
      <c r="B808" s="20"/>
      <c r="C808" s="20" t="s">
        <v>377</v>
      </c>
      <c r="D808" s="20"/>
      <c r="E808" s="20"/>
      <c r="F808" s="31">
        <f t="shared" si="110"/>
        <v>1431000</v>
      </c>
      <c r="G808" s="20"/>
      <c r="H808" s="25">
        <v>710000</v>
      </c>
      <c r="I808" s="20"/>
      <c r="J808" s="25">
        <v>141000</v>
      </c>
      <c r="K808" s="20"/>
      <c r="L808" s="25">
        <v>580000</v>
      </c>
      <c r="M808" s="20"/>
      <c r="N808" s="25">
        <v>700000</v>
      </c>
      <c r="O808" s="20"/>
      <c r="P808" s="25">
        <v>731000</v>
      </c>
      <c r="Q808" s="20"/>
      <c r="R808" s="25">
        <v>0</v>
      </c>
    </row>
    <row r="809" spans="1:18" x14ac:dyDescent="0.2">
      <c r="A809" s="20"/>
      <c r="B809" s="20"/>
      <c r="C809" s="20" t="s">
        <v>378</v>
      </c>
      <c r="D809" s="20"/>
      <c r="E809" s="20"/>
      <c r="F809" s="31">
        <f t="shared" si="110"/>
        <v>670000</v>
      </c>
      <c r="G809" s="20"/>
      <c r="H809" s="25">
        <v>7000</v>
      </c>
      <c r="I809" s="20"/>
      <c r="J809" s="25">
        <v>658000</v>
      </c>
      <c r="K809" s="20"/>
      <c r="L809" s="25">
        <v>5000</v>
      </c>
      <c r="M809" s="20"/>
      <c r="N809" s="25">
        <v>447000</v>
      </c>
      <c r="O809" s="20"/>
      <c r="P809" s="25">
        <v>223000</v>
      </c>
      <c r="Q809" s="20"/>
      <c r="R809" s="25">
        <v>0</v>
      </c>
    </row>
    <row r="810" spans="1:18" x14ac:dyDescent="0.2">
      <c r="A810" s="20"/>
      <c r="B810" s="20"/>
      <c r="C810" s="20" t="s">
        <v>368</v>
      </c>
      <c r="D810" s="20"/>
      <c r="E810" s="20"/>
      <c r="F810" s="31">
        <f t="shared" si="110"/>
        <v>486000</v>
      </c>
      <c r="G810" s="20"/>
      <c r="H810" s="25">
        <v>-1000</v>
      </c>
      <c r="I810" s="20"/>
      <c r="J810" s="25">
        <v>158000</v>
      </c>
      <c r="K810" s="20"/>
      <c r="L810" s="25">
        <v>329000</v>
      </c>
      <c r="M810" s="20"/>
      <c r="N810" s="25">
        <v>242000</v>
      </c>
      <c r="O810" s="20"/>
      <c r="P810" s="25">
        <v>244000</v>
      </c>
      <c r="Q810" s="20"/>
      <c r="R810" s="25">
        <v>0</v>
      </c>
    </row>
    <row r="811" spans="1:18" x14ac:dyDescent="0.2">
      <c r="A811" s="20"/>
      <c r="B811" s="20"/>
      <c r="C811" s="20" t="s">
        <v>379</v>
      </c>
      <c r="D811" s="20"/>
      <c r="E811" s="20"/>
      <c r="F811" s="28">
        <f t="shared" si="110"/>
        <v>4017000</v>
      </c>
      <c r="G811" s="20"/>
      <c r="H811" s="27">
        <v>1618000</v>
      </c>
      <c r="I811" s="20"/>
      <c r="J811" s="27">
        <v>2397000</v>
      </c>
      <c r="K811" s="20"/>
      <c r="L811" s="27">
        <v>2000</v>
      </c>
      <c r="M811" s="20"/>
      <c r="N811" s="27">
        <v>2329000</v>
      </c>
      <c r="O811" s="20"/>
      <c r="P811" s="27">
        <v>1688000</v>
      </c>
      <c r="Q811" s="20"/>
      <c r="R811" s="27">
        <v>0</v>
      </c>
    </row>
    <row r="812" spans="1:18" x14ac:dyDescent="0.2">
      <c r="A812" s="20"/>
      <c r="B812" s="20"/>
      <c r="C812" s="20"/>
      <c r="D812" s="20"/>
      <c r="E812" s="20"/>
      <c r="F812" s="21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</row>
    <row r="813" spans="1:18" x14ac:dyDescent="0.2">
      <c r="A813" s="20"/>
      <c r="B813" s="20"/>
      <c r="C813" s="20"/>
      <c r="D813" s="20"/>
      <c r="E813" s="20" t="s">
        <v>3</v>
      </c>
      <c r="F813" s="28">
        <f>SUM(F807:F812)</f>
        <v>9044000</v>
      </c>
      <c r="G813" s="27">
        <f t="shared" ref="G813:R813" si="111">SUM(G807:G812)</f>
        <v>0</v>
      </c>
      <c r="H813" s="27">
        <f t="shared" si="111"/>
        <v>3769000</v>
      </c>
      <c r="I813" s="27">
        <f t="shared" si="111"/>
        <v>0</v>
      </c>
      <c r="J813" s="27">
        <f t="shared" si="111"/>
        <v>3948000</v>
      </c>
      <c r="K813" s="27">
        <f t="shared" si="111"/>
        <v>0</v>
      </c>
      <c r="L813" s="27">
        <f t="shared" si="111"/>
        <v>1327000</v>
      </c>
      <c r="M813" s="27">
        <f t="shared" si="111"/>
        <v>0</v>
      </c>
      <c r="N813" s="27">
        <f t="shared" si="111"/>
        <v>5249000</v>
      </c>
      <c r="O813" s="27">
        <f t="shared" si="111"/>
        <v>0</v>
      </c>
      <c r="P813" s="27">
        <f t="shared" si="111"/>
        <v>3795000</v>
      </c>
      <c r="Q813" s="27">
        <f t="shared" si="111"/>
        <v>0</v>
      </c>
      <c r="R813" s="27">
        <f t="shared" si="111"/>
        <v>0</v>
      </c>
    </row>
    <row r="814" spans="1:18" x14ac:dyDescent="0.2">
      <c r="A814" s="20"/>
      <c r="B814" s="20"/>
      <c r="C814" s="20"/>
      <c r="D814" s="20"/>
      <c r="E814" s="20"/>
      <c r="F814" s="21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</row>
    <row r="815" spans="1:18" x14ac:dyDescent="0.2">
      <c r="A815" s="20"/>
      <c r="B815" s="20" t="s">
        <v>380</v>
      </c>
      <c r="C815" s="20"/>
      <c r="D815" s="20"/>
      <c r="E815" s="20"/>
      <c r="F815" s="21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</row>
    <row r="816" spans="1:18" x14ac:dyDescent="0.2">
      <c r="A816" s="20"/>
      <c r="B816" s="20"/>
      <c r="C816" s="20" t="s">
        <v>381</v>
      </c>
      <c r="D816" s="20"/>
      <c r="E816" s="20"/>
      <c r="F816" s="21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</row>
    <row r="817" spans="1:18" x14ac:dyDescent="0.2">
      <c r="A817" s="20"/>
      <c r="B817" s="20"/>
      <c r="C817" s="20" t="s">
        <v>382</v>
      </c>
      <c r="D817" s="20"/>
      <c r="E817" s="20"/>
      <c r="F817" s="31">
        <f t="shared" ref="F817:F820" si="112">SUM(H817:L817)</f>
        <v>3838000</v>
      </c>
      <c r="G817" s="20"/>
      <c r="H817" s="25">
        <v>1000</v>
      </c>
      <c r="I817" s="20"/>
      <c r="J817" s="25">
        <v>3500000</v>
      </c>
      <c r="K817" s="20"/>
      <c r="L817" s="25">
        <v>337000</v>
      </c>
      <c r="M817" s="20"/>
      <c r="N817" s="25">
        <v>2352000</v>
      </c>
      <c r="O817" s="20"/>
      <c r="P817" s="25">
        <v>1486000</v>
      </c>
      <c r="Q817" s="20"/>
      <c r="R817" s="25">
        <v>0</v>
      </c>
    </row>
    <row r="818" spans="1:18" x14ac:dyDescent="0.2">
      <c r="A818" s="20"/>
      <c r="B818" s="20"/>
      <c r="C818" s="20" t="s">
        <v>383</v>
      </c>
      <c r="D818" s="20"/>
      <c r="E818" s="20"/>
      <c r="F818" s="31">
        <f t="shared" si="112"/>
        <v>3988000</v>
      </c>
      <c r="G818" s="20"/>
      <c r="H818" s="25">
        <v>1548000</v>
      </c>
      <c r="I818" s="20"/>
      <c r="J818" s="25">
        <v>2060000</v>
      </c>
      <c r="K818" s="20"/>
      <c r="L818" s="25">
        <v>380000</v>
      </c>
      <c r="M818" s="20"/>
      <c r="N818" s="25">
        <v>2569000</v>
      </c>
      <c r="O818" s="20"/>
      <c r="P818" s="25">
        <v>1419000</v>
      </c>
      <c r="Q818" s="20"/>
      <c r="R818" s="25">
        <v>0</v>
      </c>
    </row>
    <row r="819" spans="1:18" x14ac:dyDescent="0.2">
      <c r="A819" s="20"/>
      <c r="B819" s="20"/>
      <c r="C819" s="20" t="s">
        <v>384</v>
      </c>
      <c r="D819" s="20"/>
      <c r="E819" s="20"/>
      <c r="F819" s="31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</row>
    <row r="820" spans="1:18" x14ac:dyDescent="0.2">
      <c r="A820" s="20"/>
      <c r="B820" s="20"/>
      <c r="C820" s="20"/>
      <c r="D820" s="20"/>
      <c r="E820" s="20" t="s">
        <v>385</v>
      </c>
      <c r="F820" s="28">
        <f t="shared" si="112"/>
        <v>1330000</v>
      </c>
      <c r="G820" s="20"/>
      <c r="H820" s="27">
        <v>37000</v>
      </c>
      <c r="I820" s="20"/>
      <c r="J820" s="27">
        <v>1272000</v>
      </c>
      <c r="K820" s="20"/>
      <c r="L820" s="27">
        <v>21000</v>
      </c>
      <c r="M820" s="20"/>
      <c r="N820" s="27">
        <v>1841000</v>
      </c>
      <c r="O820" s="20"/>
      <c r="P820" s="27">
        <v>1295000</v>
      </c>
      <c r="Q820" s="20"/>
      <c r="R820" s="27">
        <v>1806000</v>
      </c>
    </row>
    <row r="821" spans="1:18" x14ac:dyDescent="0.2">
      <c r="A821" s="20"/>
      <c r="B821" s="20"/>
      <c r="C821" s="20"/>
      <c r="D821" s="20"/>
      <c r="E821" s="20"/>
      <c r="F821" s="21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</row>
    <row r="822" spans="1:18" x14ac:dyDescent="0.2">
      <c r="A822" s="20"/>
      <c r="B822" s="20"/>
      <c r="C822" s="20"/>
      <c r="D822" s="20"/>
      <c r="E822" s="20" t="s">
        <v>3</v>
      </c>
      <c r="F822" s="28">
        <f>SUM(F817:F820)</f>
        <v>9156000</v>
      </c>
      <c r="G822" s="27">
        <f t="shared" ref="G822:R822" si="113">SUM(G817:G820)</f>
        <v>0</v>
      </c>
      <c r="H822" s="27">
        <f t="shared" si="113"/>
        <v>1586000</v>
      </c>
      <c r="I822" s="27">
        <f t="shared" si="113"/>
        <v>0</v>
      </c>
      <c r="J822" s="27">
        <f t="shared" si="113"/>
        <v>6832000</v>
      </c>
      <c r="K822" s="27">
        <f t="shared" si="113"/>
        <v>0</v>
      </c>
      <c r="L822" s="27">
        <f t="shared" si="113"/>
        <v>738000</v>
      </c>
      <c r="M822" s="27">
        <f t="shared" si="113"/>
        <v>0</v>
      </c>
      <c r="N822" s="27">
        <f t="shared" si="113"/>
        <v>6762000</v>
      </c>
      <c r="O822" s="27">
        <f t="shared" si="113"/>
        <v>0</v>
      </c>
      <c r="P822" s="27">
        <f t="shared" si="113"/>
        <v>4200000</v>
      </c>
      <c r="Q822" s="27">
        <f t="shared" si="113"/>
        <v>0</v>
      </c>
      <c r="R822" s="27">
        <f t="shared" si="113"/>
        <v>1806000</v>
      </c>
    </row>
    <row r="823" spans="1:18" x14ac:dyDescent="0.2">
      <c r="A823" s="20"/>
      <c r="B823" s="20"/>
      <c r="C823" s="20"/>
      <c r="D823" s="20"/>
      <c r="E823" s="20"/>
      <c r="F823" s="21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</row>
    <row r="824" spans="1:18" x14ac:dyDescent="0.2">
      <c r="A824" s="20"/>
      <c r="B824" s="20" t="s">
        <v>386</v>
      </c>
      <c r="C824" s="20"/>
      <c r="D824" s="20"/>
      <c r="E824" s="20"/>
      <c r="F824" s="21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</row>
    <row r="825" spans="1:18" x14ac:dyDescent="0.2">
      <c r="A825" s="20"/>
      <c r="B825" s="20"/>
      <c r="C825" s="20" t="s">
        <v>387</v>
      </c>
      <c r="D825" s="20"/>
      <c r="E825" s="20"/>
      <c r="F825" s="31">
        <f t="shared" ref="F825:F826" si="114">SUM(H825:L825)</f>
        <v>5118000</v>
      </c>
      <c r="G825" s="20"/>
      <c r="H825" s="25">
        <v>4703000</v>
      </c>
      <c r="I825" s="20"/>
      <c r="J825" s="25">
        <v>-145000</v>
      </c>
      <c r="K825" s="20"/>
      <c r="L825" s="25">
        <v>560000</v>
      </c>
      <c r="M825" s="20"/>
      <c r="N825" s="25">
        <v>4177000</v>
      </c>
      <c r="O825" s="20"/>
      <c r="P825" s="25">
        <v>941000</v>
      </c>
      <c r="Q825" s="20"/>
      <c r="R825" s="25">
        <v>0</v>
      </c>
    </row>
    <row r="826" spans="1:18" x14ac:dyDescent="0.2">
      <c r="A826" s="20"/>
      <c r="B826" s="20"/>
      <c r="C826" s="20" t="s">
        <v>388</v>
      </c>
      <c r="D826" s="20"/>
      <c r="E826" s="20"/>
      <c r="F826" s="28">
        <f t="shared" si="114"/>
        <v>492000</v>
      </c>
      <c r="G826" s="20"/>
      <c r="H826" s="27">
        <v>288000</v>
      </c>
      <c r="I826" s="20"/>
      <c r="J826" s="27">
        <v>192000</v>
      </c>
      <c r="K826" s="20"/>
      <c r="L826" s="27">
        <v>12000</v>
      </c>
      <c r="M826" s="20"/>
      <c r="N826" s="27">
        <v>287000</v>
      </c>
      <c r="O826" s="20"/>
      <c r="P826" s="27">
        <v>205000</v>
      </c>
      <c r="Q826" s="20"/>
      <c r="R826" s="27">
        <v>0</v>
      </c>
    </row>
    <row r="827" spans="1:18" x14ac:dyDescent="0.2">
      <c r="A827" s="20"/>
      <c r="B827" s="20"/>
      <c r="C827" s="20"/>
      <c r="D827" s="20"/>
      <c r="E827" s="20"/>
      <c r="F827" s="21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</row>
    <row r="828" spans="1:18" x14ac:dyDescent="0.2">
      <c r="A828" s="20"/>
      <c r="B828" s="20"/>
      <c r="C828" s="20"/>
      <c r="D828" s="20"/>
      <c r="E828" s="20" t="s">
        <v>3</v>
      </c>
      <c r="F828" s="28">
        <f>SUM(F825:F827)</f>
        <v>5610000</v>
      </c>
      <c r="G828" s="27">
        <f t="shared" ref="G828:R828" si="115">SUM(G825:G827)</f>
        <v>0</v>
      </c>
      <c r="H828" s="27">
        <f t="shared" si="115"/>
        <v>4991000</v>
      </c>
      <c r="I828" s="27">
        <f t="shared" si="115"/>
        <v>0</v>
      </c>
      <c r="J828" s="27">
        <f t="shared" si="115"/>
        <v>47000</v>
      </c>
      <c r="K828" s="27">
        <f t="shared" si="115"/>
        <v>0</v>
      </c>
      <c r="L828" s="27">
        <f t="shared" si="115"/>
        <v>572000</v>
      </c>
      <c r="M828" s="27">
        <f t="shared" si="115"/>
        <v>0</v>
      </c>
      <c r="N828" s="27">
        <f t="shared" si="115"/>
        <v>4464000</v>
      </c>
      <c r="O828" s="27">
        <f t="shared" si="115"/>
        <v>0</v>
      </c>
      <c r="P828" s="27">
        <f t="shared" si="115"/>
        <v>1146000</v>
      </c>
      <c r="Q828" s="27">
        <f t="shared" si="115"/>
        <v>0</v>
      </c>
      <c r="R828" s="27">
        <f t="shared" si="115"/>
        <v>0</v>
      </c>
    </row>
    <row r="829" spans="1:18" x14ac:dyDescent="0.2">
      <c r="A829" s="20"/>
      <c r="B829" s="20"/>
      <c r="C829" s="20"/>
      <c r="D829" s="20"/>
      <c r="E829" s="20"/>
      <c r="F829" s="21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</row>
    <row r="830" spans="1:18" x14ac:dyDescent="0.2">
      <c r="A830" s="20"/>
      <c r="B830" s="20" t="s">
        <v>389</v>
      </c>
      <c r="C830" s="20"/>
      <c r="D830" s="20"/>
      <c r="E830" s="20"/>
      <c r="F830" s="21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</row>
    <row r="831" spans="1:18" x14ac:dyDescent="0.2">
      <c r="A831" s="20"/>
      <c r="B831" s="20"/>
      <c r="C831" s="20" t="s">
        <v>390</v>
      </c>
      <c r="D831" s="20"/>
      <c r="E831" s="20"/>
      <c r="F831" s="21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</row>
    <row r="832" spans="1:18" x14ac:dyDescent="0.2">
      <c r="A832" s="20"/>
      <c r="B832" s="20"/>
      <c r="C832" s="20" t="s">
        <v>391</v>
      </c>
      <c r="D832" s="20"/>
      <c r="E832" s="20"/>
      <c r="F832" s="21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</row>
    <row r="833" spans="1:18" x14ac:dyDescent="0.2">
      <c r="A833" s="20"/>
      <c r="B833" s="20"/>
      <c r="C833" s="20"/>
      <c r="D833" s="20"/>
      <c r="E833" s="20" t="s">
        <v>392</v>
      </c>
      <c r="F833" s="31">
        <f t="shared" ref="F833:F836" si="116">SUM(H833:L833)</f>
        <v>251000</v>
      </c>
      <c r="G833" s="20"/>
      <c r="H833" s="25">
        <v>250000</v>
      </c>
      <c r="I833" s="20"/>
      <c r="J833" s="25">
        <v>1000</v>
      </c>
      <c r="K833" s="20"/>
      <c r="L833" s="25">
        <v>0</v>
      </c>
      <c r="M833" s="20"/>
      <c r="N833" s="25">
        <v>143000</v>
      </c>
      <c r="O833" s="20"/>
      <c r="P833" s="25">
        <v>108000</v>
      </c>
      <c r="Q833" s="20"/>
      <c r="R833" s="25">
        <v>0</v>
      </c>
    </row>
    <row r="834" spans="1:18" x14ac:dyDescent="0.2">
      <c r="A834" s="20"/>
      <c r="B834" s="20"/>
      <c r="C834" s="20" t="s">
        <v>393</v>
      </c>
      <c r="D834" s="20"/>
      <c r="E834" s="20"/>
      <c r="F834" s="31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</row>
    <row r="835" spans="1:18" x14ac:dyDescent="0.2">
      <c r="A835" s="20"/>
      <c r="B835" s="20"/>
      <c r="C835" s="20"/>
      <c r="D835" s="20"/>
      <c r="E835" s="20" t="s">
        <v>394</v>
      </c>
      <c r="F835" s="31">
        <f t="shared" si="116"/>
        <v>5774000</v>
      </c>
      <c r="G835" s="20"/>
      <c r="H835" s="25">
        <v>3299000</v>
      </c>
      <c r="I835" s="20"/>
      <c r="J835" s="25">
        <v>2408000</v>
      </c>
      <c r="K835" s="20"/>
      <c r="L835" s="25">
        <v>67000</v>
      </c>
      <c r="M835" s="20"/>
      <c r="N835" s="25">
        <v>3795000</v>
      </c>
      <c r="O835" s="20"/>
      <c r="P835" s="25">
        <v>1979000</v>
      </c>
      <c r="Q835" s="20"/>
      <c r="R835" s="25">
        <v>0</v>
      </c>
    </row>
    <row r="836" spans="1:18" x14ac:dyDescent="0.2">
      <c r="A836" s="20"/>
      <c r="B836" s="20"/>
      <c r="C836" s="20" t="s">
        <v>395</v>
      </c>
      <c r="D836" s="20"/>
      <c r="E836" s="20"/>
      <c r="F836" s="28">
        <f t="shared" si="116"/>
        <v>3963000</v>
      </c>
      <c r="G836" s="20"/>
      <c r="H836" s="27">
        <v>1400000</v>
      </c>
      <c r="I836" s="20"/>
      <c r="J836" s="27">
        <v>2490000</v>
      </c>
      <c r="K836" s="20"/>
      <c r="L836" s="27">
        <v>73000</v>
      </c>
      <c r="M836" s="20"/>
      <c r="N836" s="27">
        <v>2459000</v>
      </c>
      <c r="O836" s="20"/>
      <c r="P836" s="27">
        <v>1504000</v>
      </c>
      <c r="Q836" s="20"/>
      <c r="R836" s="27">
        <v>0</v>
      </c>
    </row>
    <row r="837" spans="1:18" x14ac:dyDescent="0.2">
      <c r="A837" s="20"/>
      <c r="B837" s="20"/>
      <c r="C837" s="20"/>
      <c r="D837" s="20"/>
      <c r="E837" s="20"/>
      <c r="F837" s="21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</row>
    <row r="838" spans="1:18" x14ac:dyDescent="0.2">
      <c r="A838" s="20"/>
      <c r="B838" s="20"/>
      <c r="C838" s="20"/>
      <c r="D838" s="20"/>
      <c r="E838" s="20" t="s">
        <v>3</v>
      </c>
      <c r="F838" s="28">
        <f>SUM(F833:F837)</f>
        <v>9988000</v>
      </c>
      <c r="G838" s="27">
        <f t="shared" ref="G838:R838" si="117">SUM(G833:G837)</f>
        <v>0</v>
      </c>
      <c r="H838" s="27">
        <f t="shared" si="117"/>
        <v>4949000</v>
      </c>
      <c r="I838" s="27">
        <f t="shared" si="117"/>
        <v>0</v>
      </c>
      <c r="J838" s="27">
        <f t="shared" si="117"/>
        <v>4899000</v>
      </c>
      <c r="K838" s="27">
        <f t="shared" si="117"/>
        <v>0</v>
      </c>
      <c r="L838" s="27">
        <f t="shared" si="117"/>
        <v>140000</v>
      </c>
      <c r="M838" s="27">
        <f t="shared" si="117"/>
        <v>0</v>
      </c>
      <c r="N838" s="27">
        <f t="shared" si="117"/>
        <v>6397000</v>
      </c>
      <c r="O838" s="27">
        <f t="shared" si="117"/>
        <v>0</v>
      </c>
      <c r="P838" s="27">
        <f t="shared" si="117"/>
        <v>3591000</v>
      </c>
      <c r="Q838" s="27">
        <f t="shared" si="117"/>
        <v>0</v>
      </c>
      <c r="R838" s="27">
        <f t="shared" si="117"/>
        <v>0</v>
      </c>
    </row>
    <row r="839" spans="1:18" x14ac:dyDescent="0.2">
      <c r="A839" s="20"/>
      <c r="B839" s="20"/>
      <c r="C839" s="20"/>
      <c r="D839" s="20"/>
      <c r="E839" s="20"/>
      <c r="F839" s="21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</row>
    <row r="840" spans="1:18" x14ac:dyDescent="0.2">
      <c r="A840" s="20"/>
      <c r="B840" s="20" t="s">
        <v>396</v>
      </c>
      <c r="C840" s="20"/>
      <c r="D840" s="20"/>
      <c r="E840" s="20"/>
      <c r="F840" s="28">
        <f t="shared" ref="F840" si="118">SUM(H840:L840)</f>
        <v>94993000</v>
      </c>
      <c r="G840" s="20"/>
      <c r="H840" s="27">
        <v>7000</v>
      </c>
      <c r="I840" s="20"/>
      <c r="J840" s="27">
        <v>94776000</v>
      </c>
      <c r="K840" s="20"/>
      <c r="L840" s="27">
        <v>210000</v>
      </c>
      <c r="M840" s="20"/>
      <c r="N840" s="27">
        <v>21727000</v>
      </c>
      <c r="O840" s="20"/>
      <c r="P840" s="27">
        <v>87265000</v>
      </c>
      <c r="Q840" s="20"/>
      <c r="R840" s="27">
        <v>13999000</v>
      </c>
    </row>
    <row r="841" spans="1:18" x14ac:dyDescent="0.2">
      <c r="A841" s="20"/>
      <c r="B841" s="20"/>
      <c r="C841" s="20"/>
      <c r="D841" s="20"/>
      <c r="E841" s="20"/>
      <c r="F841" s="21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</row>
    <row r="842" spans="1:18" x14ac:dyDescent="0.2">
      <c r="A842" s="20"/>
      <c r="B842" s="20" t="s">
        <v>397</v>
      </c>
      <c r="C842" s="20"/>
      <c r="D842" s="20"/>
      <c r="E842" s="20"/>
      <c r="F842" s="28">
        <f t="shared" ref="F842" si="119">SUM(H842:L842)</f>
        <v>8007000</v>
      </c>
      <c r="G842" s="20"/>
      <c r="H842" s="27">
        <v>21000</v>
      </c>
      <c r="I842" s="20"/>
      <c r="J842" s="27">
        <v>7976000</v>
      </c>
      <c r="K842" s="20"/>
      <c r="L842" s="27">
        <v>10000</v>
      </c>
      <c r="M842" s="20"/>
      <c r="N842" s="27">
        <v>3587000</v>
      </c>
      <c r="O842" s="20"/>
      <c r="P842" s="27">
        <v>4420000</v>
      </c>
      <c r="Q842" s="20"/>
      <c r="R842" s="27">
        <v>0</v>
      </c>
    </row>
    <row r="843" spans="1:18" x14ac:dyDescent="0.2">
      <c r="A843" s="20"/>
      <c r="B843" s="20"/>
      <c r="C843" s="20"/>
      <c r="D843" s="20"/>
      <c r="E843" s="20"/>
      <c r="F843" s="21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</row>
    <row r="844" spans="1:18" x14ac:dyDescent="0.2">
      <c r="A844" s="20"/>
      <c r="B844" s="20" t="s">
        <v>398</v>
      </c>
      <c r="C844" s="20"/>
      <c r="D844" s="20"/>
      <c r="E844" s="20"/>
      <c r="F844" s="28">
        <f t="shared" ref="F844" si="120">SUM(H844:L844)</f>
        <v>11353000</v>
      </c>
      <c r="G844" s="20"/>
      <c r="H844" s="27">
        <v>-15339000</v>
      </c>
      <c r="I844" s="20"/>
      <c r="J844" s="27">
        <v>23756000</v>
      </c>
      <c r="K844" s="20"/>
      <c r="L844" s="27">
        <v>2936000</v>
      </c>
      <c r="M844" s="20"/>
      <c r="N844" s="27">
        <v>8934000</v>
      </c>
      <c r="O844" s="20"/>
      <c r="P844" s="27">
        <v>2387000</v>
      </c>
      <c r="Q844" s="20"/>
      <c r="R844" s="27">
        <v>-32000</v>
      </c>
    </row>
    <row r="845" spans="1:18" x14ac:dyDescent="0.2">
      <c r="A845" s="20"/>
      <c r="B845" s="20"/>
      <c r="C845" s="20"/>
      <c r="D845" s="20"/>
      <c r="E845" s="20"/>
      <c r="F845" s="21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</row>
    <row r="846" spans="1:18" x14ac:dyDescent="0.2">
      <c r="A846" s="20"/>
      <c r="B846" s="20" t="s">
        <v>399</v>
      </c>
      <c r="C846" s="20"/>
      <c r="D846" s="20"/>
      <c r="E846" s="20"/>
      <c r="F846" s="21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</row>
    <row r="847" spans="1:18" x14ac:dyDescent="0.2">
      <c r="A847" s="20"/>
      <c r="B847" s="20"/>
      <c r="C847" s="20" t="s">
        <v>400</v>
      </c>
      <c r="D847" s="20"/>
      <c r="E847" s="20"/>
      <c r="F847" s="28">
        <f t="shared" ref="F847" si="121">SUM(H847:L847)</f>
        <v>-643000</v>
      </c>
      <c r="G847" s="20"/>
      <c r="H847" s="27">
        <v>-26000</v>
      </c>
      <c r="I847" s="20"/>
      <c r="J847" s="27">
        <v>-639000</v>
      </c>
      <c r="K847" s="20"/>
      <c r="L847" s="27">
        <v>22000</v>
      </c>
      <c r="M847" s="20"/>
      <c r="N847" s="27">
        <v>-594000</v>
      </c>
      <c r="O847" s="20"/>
      <c r="P847" s="27">
        <v>-49000</v>
      </c>
      <c r="Q847" s="20"/>
      <c r="R847" s="27">
        <v>0</v>
      </c>
    </row>
    <row r="848" spans="1:18" x14ac:dyDescent="0.2">
      <c r="A848" s="20"/>
      <c r="B848" s="20"/>
      <c r="C848" s="20"/>
      <c r="D848" s="20"/>
      <c r="E848" s="20"/>
      <c r="F848" s="21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</row>
    <row r="849" spans="1:18" x14ac:dyDescent="0.2">
      <c r="A849" s="20"/>
      <c r="B849" s="20"/>
      <c r="C849" s="20"/>
      <c r="D849" s="20"/>
      <c r="E849" s="20" t="s">
        <v>401</v>
      </c>
      <c r="F849" s="28">
        <f>F771+F803+F813+F822+F828+F838+F840+F842+F844+F847</f>
        <v>232981000</v>
      </c>
      <c r="G849" s="27">
        <f t="shared" ref="G849:R849" si="122">G771+G803+G813+G822+G828+G838+G840+G842+G844+G847</f>
        <v>0</v>
      </c>
      <c r="H849" s="27">
        <f t="shared" si="122"/>
        <v>362000</v>
      </c>
      <c r="I849" s="27">
        <f t="shared" si="122"/>
        <v>0</v>
      </c>
      <c r="J849" s="27">
        <f t="shared" si="122"/>
        <v>213027000</v>
      </c>
      <c r="K849" s="27">
        <f t="shared" si="122"/>
        <v>0</v>
      </c>
      <c r="L849" s="27">
        <f t="shared" si="122"/>
        <v>19592000</v>
      </c>
      <c r="M849" s="27">
        <f t="shared" si="122"/>
        <v>0</v>
      </c>
      <c r="N849" s="27">
        <f t="shared" si="122"/>
        <v>95989000</v>
      </c>
      <c r="O849" s="27">
        <f t="shared" si="122"/>
        <v>0</v>
      </c>
      <c r="P849" s="27">
        <f t="shared" si="122"/>
        <v>153586000</v>
      </c>
      <c r="Q849" s="27">
        <f t="shared" si="122"/>
        <v>0</v>
      </c>
      <c r="R849" s="27">
        <f t="shared" si="122"/>
        <v>16594000</v>
      </c>
    </row>
    <row r="850" spans="1:18" x14ac:dyDescent="0.2">
      <c r="A850" s="20"/>
      <c r="B850" s="20"/>
      <c r="C850" s="20"/>
      <c r="D850" s="20"/>
      <c r="E850" s="20"/>
      <c r="F850" s="21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</row>
    <row r="851" spans="1:18" x14ac:dyDescent="0.2">
      <c r="A851" s="22" t="s">
        <v>402</v>
      </c>
      <c r="B851" s="20"/>
      <c r="C851" s="20"/>
      <c r="D851" s="20"/>
      <c r="E851" s="20"/>
      <c r="F851" s="21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</row>
    <row r="852" spans="1:18" x14ac:dyDescent="0.2">
      <c r="A852" s="20"/>
      <c r="B852" s="20"/>
      <c r="C852" s="20"/>
      <c r="D852" s="20"/>
      <c r="E852" s="20"/>
      <c r="F852" s="21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</row>
    <row r="853" spans="1:18" x14ac:dyDescent="0.2">
      <c r="A853" s="20"/>
      <c r="B853" s="20" t="s">
        <v>403</v>
      </c>
      <c r="C853" s="20"/>
      <c r="D853" s="20"/>
      <c r="E853" s="20"/>
      <c r="F853" s="21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</row>
    <row r="854" spans="1:18" x14ac:dyDescent="0.2">
      <c r="A854" s="20"/>
      <c r="B854" s="20"/>
      <c r="C854" s="20" t="s">
        <v>404</v>
      </c>
      <c r="D854" s="20"/>
      <c r="E854" s="20"/>
      <c r="F854" s="21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</row>
    <row r="855" spans="1:18" x14ac:dyDescent="0.2">
      <c r="A855" s="20"/>
      <c r="B855" s="20"/>
      <c r="C855" s="20"/>
      <c r="D855" s="20"/>
      <c r="E855" s="20" t="s">
        <v>405</v>
      </c>
      <c r="F855" s="31">
        <f t="shared" ref="F855:F881" si="123">SUM(H855:L855)</f>
        <v>1365000</v>
      </c>
      <c r="G855" s="20"/>
      <c r="H855" s="25">
        <v>1300000</v>
      </c>
      <c r="I855" s="20"/>
      <c r="J855" s="25">
        <v>65000</v>
      </c>
      <c r="K855" s="20"/>
      <c r="L855" s="25">
        <v>0</v>
      </c>
      <c r="M855" s="20"/>
      <c r="N855" s="25">
        <v>870000</v>
      </c>
      <c r="O855" s="20"/>
      <c r="P855" s="25">
        <v>495000</v>
      </c>
      <c r="Q855" s="20"/>
      <c r="R855" s="25">
        <v>0</v>
      </c>
    </row>
    <row r="856" spans="1:18" x14ac:dyDescent="0.2">
      <c r="A856" s="20"/>
      <c r="B856" s="20"/>
      <c r="C856" s="20"/>
      <c r="D856" s="20"/>
      <c r="E856" s="20" t="s">
        <v>406</v>
      </c>
      <c r="F856" s="31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</row>
    <row r="857" spans="1:18" x14ac:dyDescent="0.2">
      <c r="A857" s="20"/>
      <c r="B857" s="20"/>
      <c r="C857" s="20"/>
      <c r="D857" s="20"/>
      <c r="E857" s="20" t="s">
        <v>407</v>
      </c>
      <c r="F857" s="31">
        <f t="shared" si="123"/>
        <v>-601000</v>
      </c>
      <c r="G857" s="20"/>
      <c r="H857" s="25">
        <v>-700000</v>
      </c>
      <c r="I857" s="20"/>
      <c r="J857" s="25">
        <v>99000</v>
      </c>
      <c r="K857" s="20"/>
      <c r="L857" s="25">
        <v>0</v>
      </c>
      <c r="M857" s="20"/>
      <c r="N857" s="25">
        <v>0</v>
      </c>
      <c r="O857" s="20"/>
      <c r="P857" s="25">
        <v>-601000</v>
      </c>
      <c r="Q857" s="20"/>
      <c r="R857" s="25">
        <v>0</v>
      </c>
    </row>
    <row r="858" spans="1:18" x14ac:dyDescent="0.2">
      <c r="A858" s="20"/>
      <c r="B858" s="20"/>
      <c r="C858" s="20"/>
      <c r="D858" s="20"/>
      <c r="E858" s="20" t="s">
        <v>408</v>
      </c>
      <c r="F858" s="31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</row>
    <row r="859" spans="1:18" x14ac:dyDescent="0.2">
      <c r="A859" s="20"/>
      <c r="B859" s="20"/>
      <c r="C859" s="20"/>
      <c r="D859" s="20"/>
      <c r="E859" s="20" t="s">
        <v>409</v>
      </c>
      <c r="F859" s="31">
        <f t="shared" si="123"/>
        <v>-3628000</v>
      </c>
      <c r="G859" s="20"/>
      <c r="H859" s="25">
        <v>0</v>
      </c>
      <c r="I859" s="20"/>
      <c r="J859" s="25">
        <v>-3628000</v>
      </c>
      <c r="K859" s="20"/>
      <c r="L859" s="25">
        <v>0</v>
      </c>
      <c r="M859" s="20"/>
      <c r="N859" s="25">
        <v>0</v>
      </c>
      <c r="O859" s="20"/>
      <c r="P859" s="25">
        <v>-3628000</v>
      </c>
      <c r="Q859" s="20"/>
      <c r="R859" s="25">
        <v>0</v>
      </c>
    </row>
    <row r="860" spans="1:18" x14ac:dyDescent="0.2">
      <c r="A860" s="20"/>
      <c r="B860" s="20"/>
      <c r="C860" s="20"/>
      <c r="D860" s="20"/>
      <c r="E860" s="20" t="s">
        <v>410</v>
      </c>
      <c r="F860" s="31">
        <f t="shared" si="123"/>
        <v>7214000</v>
      </c>
      <c r="G860" s="20"/>
      <c r="H860" s="25">
        <v>3762000</v>
      </c>
      <c r="I860" s="20"/>
      <c r="J860" s="25">
        <v>3375000</v>
      </c>
      <c r="K860" s="20"/>
      <c r="L860" s="25">
        <v>77000</v>
      </c>
      <c r="M860" s="20"/>
      <c r="N860" s="25">
        <v>3262000</v>
      </c>
      <c r="O860" s="20"/>
      <c r="P860" s="25">
        <v>3952000</v>
      </c>
      <c r="Q860" s="20"/>
      <c r="R860" s="25">
        <v>0</v>
      </c>
    </row>
    <row r="861" spans="1:18" x14ac:dyDescent="0.2">
      <c r="A861" s="20"/>
      <c r="B861" s="20"/>
      <c r="C861" s="20"/>
      <c r="D861" s="20"/>
      <c r="E861" s="20" t="s">
        <v>411</v>
      </c>
      <c r="F861" s="31">
        <f t="shared" si="123"/>
        <v>660000</v>
      </c>
      <c r="G861" s="20"/>
      <c r="H861" s="25">
        <v>273000</v>
      </c>
      <c r="I861" s="20"/>
      <c r="J861" s="25">
        <v>374000</v>
      </c>
      <c r="K861" s="20"/>
      <c r="L861" s="25">
        <v>13000</v>
      </c>
      <c r="M861" s="20"/>
      <c r="N861" s="25">
        <v>391000</v>
      </c>
      <c r="O861" s="20"/>
      <c r="P861" s="25">
        <v>269000</v>
      </c>
      <c r="Q861" s="20"/>
      <c r="R861" s="25">
        <v>0</v>
      </c>
    </row>
    <row r="862" spans="1:18" x14ac:dyDescent="0.2">
      <c r="A862" s="20"/>
      <c r="B862" s="20"/>
      <c r="C862" s="20"/>
      <c r="D862" s="20"/>
      <c r="E862" s="20" t="s">
        <v>412</v>
      </c>
      <c r="F862" s="31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</row>
    <row r="863" spans="1:18" x14ac:dyDescent="0.2">
      <c r="A863" s="20"/>
      <c r="B863" s="20"/>
      <c r="C863" s="20"/>
      <c r="D863" s="20"/>
      <c r="E863" s="20" t="s">
        <v>413</v>
      </c>
      <c r="F863" s="31">
        <f t="shared" si="123"/>
        <v>2324000</v>
      </c>
      <c r="G863" s="20"/>
      <c r="H863" s="25">
        <v>1988000</v>
      </c>
      <c r="I863" s="20"/>
      <c r="J863" s="25">
        <v>241000</v>
      </c>
      <c r="K863" s="20"/>
      <c r="L863" s="25">
        <v>95000</v>
      </c>
      <c r="M863" s="20"/>
      <c r="N863" s="25">
        <v>1425000</v>
      </c>
      <c r="O863" s="20"/>
      <c r="P863" s="25">
        <v>899000</v>
      </c>
      <c r="Q863" s="20"/>
      <c r="R863" s="25">
        <v>0</v>
      </c>
    </row>
    <row r="864" spans="1:18" x14ac:dyDescent="0.2">
      <c r="A864" s="20"/>
      <c r="B864" s="20"/>
      <c r="C864" s="20"/>
      <c r="D864" s="20"/>
      <c r="E864" s="20" t="s">
        <v>414</v>
      </c>
      <c r="F864" s="31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</row>
    <row r="865" spans="1:18" x14ac:dyDescent="0.2">
      <c r="A865" s="20"/>
      <c r="B865" s="20"/>
      <c r="C865" s="20"/>
      <c r="D865" s="20"/>
      <c r="E865" s="20" t="s">
        <v>415</v>
      </c>
      <c r="F865" s="31">
        <f t="shared" si="123"/>
        <v>3718000</v>
      </c>
      <c r="G865" s="20"/>
      <c r="H865" s="25">
        <v>0</v>
      </c>
      <c r="I865" s="20"/>
      <c r="J865" s="25">
        <v>3718000</v>
      </c>
      <c r="K865" s="20"/>
      <c r="L865" s="25">
        <v>0</v>
      </c>
      <c r="M865" s="20"/>
      <c r="N865" s="25">
        <v>2067000</v>
      </c>
      <c r="O865" s="20"/>
      <c r="P865" s="25">
        <v>1651000</v>
      </c>
      <c r="Q865" s="20"/>
      <c r="R865" s="25">
        <v>0</v>
      </c>
    </row>
    <row r="866" spans="1:18" x14ac:dyDescent="0.2">
      <c r="A866" s="20"/>
      <c r="B866" s="20"/>
      <c r="C866" s="20"/>
      <c r="D866" s="20"/>
      <c r="E866" s="20" t="s">
        <v>416</v>
      </c>
      <c r="F866" s="31">
        <f t="shared" si="123"/>
        <v>17000</v>
      </c>
      <c r="G866" s="20"/>
      <c r="H866" s="25">
        <v>3000</v>
      </c>
      <c r="I866" s="20"/>
      <c r="J866" s="25">
        <v>14000</v>
      </c>
      <c r="K866" s="20"/>
      <c r="L866" s="25">
        <v>0</v>
      </c>
      <c r="M866" s="20"/>
      <c r="N866" s="25">
        <v>0</v>
      </c>
      <c r="O866" s="20"/>
      <c r="P866" s="25">
        <v>17000</v>
      </c>
      <c r="Q866" s="20"/>
      <c r="R866" s="25">
        <v>0</v>
      </c>
    </row>
    <row r="867" spans="1:18" x14ac:dyDescent="0.2">
      <c r="A867" s="20"/>
      <c r="B867" s="20"/>
      <c r="C867" s="20"/>
      <c r="D867" s="20"/>
      <c r="E867" s="20" t="s">
        <v>417</v>
      </c>
      <c r="F867" s="31">
        <f t="shared" si="123"/>
        <v>15000</v>
      </c>
      <c r="G867" s="20"/>
      <c r="H867" s="25">
        <v>0</v>
      </c>
      <c r="I867" s="20"/>
      <c r="J867" s="25">
        <v>15000</v>
      </c>
      <c r="K867" s="20"/>
      <c r="L867" s="25">
        <v>0</v>
      </c>
      <c r="M867" s="20"/>
      <c r="N867" s="25">
        <v>0</v>
      </c>
      <c r="O867" s="20"/>
      <c r="P867" s="25">
        <v>15000</v>
      </c>
      <c r="Q867" s="20"/>
      <c r="R867" s="25">
        <v>0</v>
      </c>
    </row>
    <row r="868" spans="1:18" x14ac:dyDescent="0.2">
      <c r="A868" s="20"/>
      <c r="B868" s="20"/>
      <c r="C868" s="20"/>
      <c r="D868" s="20"/>
      <c r="E868" s="20" t="s">
        <v>418</v>
      </c>
      <c r="F868" s="31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</row>
    <row r="869" spans="1:18" x14ac:dyDescent="0.2">
      <c r="A869" s="20"/>
      <c r="B869" s="20"/>
      <c r="C869" s="20"/>
      <c r="D869" s="20"/>
      <c r="E869" s="20" t="s">
        <v>419</v>
      </c>
      <c r="F869" s="31">
        <f t="shared" si="123"/>
        <v>19000</v>
      </c>
      <c r="G869" s="20"/>
      <c r="H869" s="25">
        <v>16000</v>
      </c>
      <c r="I869" s="20"/>
      <c r="J869" s="25">
        <v>3000</v>
      </c>
      <c r="K869" s="20"/>
      <c r="L869" s="25">
        <v>0</v>
      </c>
      <c r="M869" s="20"/>
      <c r="N869" s="25">
        <v>16000</v>
      </c>
      <c r="O869" s="20"/>
      <c r="P869" s="25">
        <v>3000</v>
      </c>
      <c r="Q869" s="20"/>
      <c r="R869" s="25">
        <v>0</v>
      </c>
    </row>
    <row r="870" spans="1:18" x14ac:dyDescent="0.2">
      <c r="A870" s="20"/>
      <c r="B870" s="20"/>
      <c r="C870" s="20"/>
      <c r="D870" s="20"/>
      <c r="E870" s="20" t="s">
        <v>420</v>
      </c>
      <c r="F870" s="31">
        <f t="shared" si="123"/>
        <v>435000</v>
      </c>
      <c r="G870" s="20"/>
      <c r="H870" s="25">
        <v>370000</v>
      </c>
      <c r="I870" s="20"/>
      <c r="J870" s="25">
        <v>65000</v>
      </c>
      <c r="K870" s="20"/>
      <c r="L870" s="25">
        <v>0</v>
      </c>
      <c r="M870" s="20"/>
      <c r="N870" s="25">
        <v>273000</v>
      </c>
      <c r="O870" s="20"/>
      <c r="P870" s="25">
        <v>162000</v>
      </c>
      <c r="Q870" s="20"/>
      <c r="R870" s="25">
        <v>0</v>
      </c>
    </row>
    <row r="871" spans="1:18" x14ac:dyDescent="0.2">
      <c r="A871" s="20"/>
      <c r="B871" s="20"/>
      <c r="C871" s="20"/>
      <c r="D871" s="20"/>
      <c r="E871" s="20" t="s">
        <v>421</v>
      </c>
      <c r="F871" s="31">
        <f t="shared" si="123"/>
        <v>1729000</v>
      </c>
      <c r="G871" s="20"/>
      <c r="H871" s="25">
        <v>34000</v>
      </c>
      <c r="I871" s="20"/>
      <c r="J871" s="25">
        <v>1695000</v>
      </c>
      <c r="K871" s="20"/>
      <c r="L871" s="25">
        <v>0</v>
      </c>
      <c r="M871" s="20"/>
      <c r="N871" s="25">
        <v>1235000</v>
      </c>
      <c r="O871" s="20"/>
      <c r="P871" s="25">
        <v>494000</v>
      </c>
      <c r="Q871" s="20"/>
      <c r="R871" s="25">
        <v>0</v>
      </c>
    </row>
    <row r="872" spans="1:18" x14ac:dyDescent="0.2">
      <c r="A872" s="20"/>
      <c r="B872" s="20"/>
      <c r="C872" s="20"/>
      <c r="D872" s="20"/>
      <c r="E872" s="20" t="s">
        <v>422</v>
      </c>
      <c r="F872" s="31">
        <f t="shared" si="123"/>
        <v>14115000</v>
      </c>
      <c r="G872" s="20"/>
      <c r="H872" s="25">
        <v>190000</v>
      </c>
      <c r="I872" s="20"/>
      <c r="J872" s="25">
        <v>13925000</v>
      </c>
      <c r="K872" s="20"/>
      <c r="L872" s="25">
        <v>0</v>
      </c>
      <c r="M872" s="20"/>
      <c r="N872" s="25">
        <v>6949000</v>
      </c>
      <c r="O872" s="20"/>
      <c r="P872" s="25">
        <v>7166000</v>
      </c>
      <c r="Q872" s="20"/>
      <c r="R872" s="25">
        <v>0</v>
      </c>
    </row>
    <row r="873" spans="1:18" x14ac:dyDescent="0.2">
      <c r="A873" s="20"/>
      <c r="B873" s="20"/>
      <c r="C873" s="20"/>
      <c r="D873" s="20"/>
      <c r="E873" s="20" t="s">
        <v>423</v>
      </c>
      <c r="F873" s="31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</row>
    <row r="874" spans="1:18" x14ac:dyDescent="0.2">
      <c r="A874" s="20"/>
      <c r="B874" s="20"/>
      <c r="C874" s="20"/>
      <c r="D874" s="20"/>
      <c r="E874" s="20" t="s">
        <v>424</v>
      </c>
      <c r="F874" s="31">
        <f t="shared" si="123"/>
        <v>3181000</v>
      </c>
      <c r="G874" s="20"/>
      <c r="H874" s="25">
        <v>418000</v>
      </c>
      <c r="I874" s="20"/>
      <c r="J874" s="25">
        <v>2681000</v>
      </c>
      <c r="K874" s="20"/>
      <c r="L874" s="25">
        <v>82000</v>
      </c>
      <c r="M874" s="20"/>
      <c r="N874" s="25">
        <v>1436000</v>
      </c>
      <c r="O874" s="20"/>
      <c r="P874" s="25">
        <v>1745000</v>
      </c>
      <c r="Q874" s="20"/>
      <c r="R874" s="25">
        <v>0</v>
      </c>
    </row>
    <row r="875" spans="1:18" x14ac:dyDescent="0.2">
      <c r="A875" s="20"/>
      <c r="B875" s="20"/>
      <c r="C875" s="20"/>
      <c r="D875" s="20"/>
      <c r="E875" s="20" t="s">
        <v>425</v>
      </c>
      <c r="F875" s="31">
        <f t="shared" si="123"/>
        <v>1849000</v>
      </c>
      <c r="G875" s="20"/>
      <c r="H875" s="25">
        <v>985000</v>
      </c>
      <c r="I875" s="20"/>
      <c r="J875" s="25">
        <v>730000</v>
      </c>
      <c r="K875" s="20"/>
      <c r="L875" s="25">
        <v>134000</v>
      </c>
      <c r="M875" s="20"/>
      <c r="N875" s="25">
        <v>1205000</v>
      </c>
      <c r="O875" s="20"/>
      <c r="P875" s="25">
        <v>644000</v>
      </c>
      <c r="Q875" s="20"/>
      <c r="R875" s="25">
        <v>0</v>
      </c>
    </row>
    <row r="876" spans="1:18" x14ac:dyDescent="0.2">
      <c r="A876" s="20"/>
      <c r="B876" s="20"/>
      <c r="C876" s="20"/>
      <c r="D876" s="20"/>
      <c r="E876" s="20" t="s">
        <v>426</v>
      </c>
      <c r="F876" s="31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</row>
    <row r="877" spans="1:18" x14ac:dyDescent="0.2">
      <c r="A877" s="20"/>
      <c r="B877" s="20"/>
      <c r="C877" s="20"/>
      <c r="D877" s="20"/>
      <c r="E877" s="20" t="s">
        <v>415</v>
      </c>
      <c r="F877" s="31">
        <f t="shared" si="123"/>
        <v>561000</v>
      </c>
      <c r="G877" s="20"/>
      <c r="H877" s="25">
        <v>479000</v>
      </c>
      <c r="I877" s="20"/>
      <c r="J877" s="25">
        <v>82000</v>
      </c>
      <c r="K877" s="20"/>
      <c r="L877" s="25">
        <v>0</v>
      </c>
      <c r="M877" s="20"/>
      <c r="N877" s="25">
        <v>364000</v>
      </c>
      <c r="O877" s="20"/>
      <c r="P877" s="25">
        <v>197000</v>
      </c>
      <c r="Q877" s="20"/>
      <c r="R877" s="25">
        <v>0</v>
      </c>
    </row>
    <row r="878" spans="1:18" x14ac:dyDescent="0.2">
      <c r="A878" s="20"/>
      <c r="B878" s="20"/>
      <c r="C878" s="20"/>
      <c r="D878" s="20"/>
      <c r="E878" s="20" t="s">
        <v>427</v>
      </c>
      <c r="F878" s="31">
        <f t="shared" si="123"/>
        <v>3135000</v>
      </c>
      <c r="G878" s="20"/>
      <c r="H878" s="25">
        <v>2522000</v>
      </c>
      <c r="I878" s="20"/>
      <c r="J878" s="25">
        <v>477000</v>
      </c>
      <c r="K878" s="20"/>
      <c r="L878" s="25">
        <v>136000</v>
      </c>
      <c r="M878" s="20"/>
      <c r="N878" s="25">
        <v>1962000</v>
      </c>
      <c r="O878" s="20"/>
      <c r="P878" s="25">
        <v>1173000</v>
      </c>
      <c r="Q878" s="20"/>
      <c r="R878" s="25">
        <v>0</v>
      </c>
    </row>
    <row r="879" spans="1:18" x14ac:dyDescent="0.2">
      <c r="A879" s="20"/>
      <c r="B879" s="20"/>
      <c r="C879" s="20"/>
      <c r="D879" s="20"/>
      <c r="E879" s="20" t="s">
        <v>428</v>
      </c>
      <c r="F879" s="31">
        <f t="shared" si="123"/>
        <v>3635000</v>
      </c>
      <c r="G879" s="20"/>
      <c r="H879" s="25">
        <v>-1000</v>
      </c>
      <c r="I879" s="20"/>
      <c r="J879" s="25">
        <v>3584000</v>
      </c>
      <c r="K879" s="20"/>
      <c r="L879" s="25">
        <v>52000</v>
      </c>
      <c r="M879" s="20"/>
      <c r="N879" s="25">
        <v>2045000</v>
      </c>
      <c r="O879" s="20"/>
      <c r="P879" s="25">
        <v>1590000</v>
      </c>
      <c r="Q879" s="20"/>
      <c r="R879" s="25">
        <v>0</v>
      </c>
    </row>
    <row r="880" spans="1:18" x14ac:dyDescent="0.2">
      <c r="A880" s="20"/>
      <c r="B880" s="20"/>
      <c r="C880" s="20"/>
      <c r="D880" s="20"/>
      <c r="E880" s="20" t="s">
        <v>429</v>
      </c>
      <c r="F880" s="31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</row>
    <row r="881" spans="1:18" x14ac:dyDescent="0.2">
      <c r="A881" s="20"/>
      <c r="B881" s="20"/>
      <c r="C881" s="20"/>
      <c r="D881" s="20"/>
      <c r="E881" s="20" t="s">
        <v>430</v>
      </c>
      <c r="F881" s="28">
        <f t="shared" si="123"/>
        <v>5173000</v>
      </c>
      <c r="G881" s="20"/>
      <c r="H881" s="27">
        <v>2854000</v>
      </c>
      <c r="I881" s="20"/>
      <c r="J881" s="27">
        <v>2108000</v>
      </c>
      <c r="K881" s="20"/>
      <c r="L881" s="27">
        <v>211000</v>
      </c>
      <c r="M881" s="20"/>
      <c r="N881" s="27">
        <v>3120000</v>
      </c>
      <c r="O881" s="20"/>
      <c r="P881" s="27">
        <v>2053000</v>
      </c>
      <c r="Q881" s="20"/>
      <c r="R881" s="27">
        <v>0</v>
      </c>
    </row>
    <row r="882" spans="1:18" x14ac:dyDescent="0.2">
      <c r="A882" s="20"/>
      <c r="B882" s="20"/>
      <c r="C882" s="20"/>
      <c r="D882" s="20"/>
      <c r="E882" s="20"/>
      <c r="F882" s="21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</row>
    <row r="883" spans="1:18" x14ac:dyDescent="0.2">
      <c r="A883" s="20"/>
      <c r="B883" s="20"/>
      <c r="C883" s="20"/>
      <c r="D883" s="20"/>
      <c r="E883" s="20" t="s">
        <v>3</v>
      </c>
      <c r="F883" s="28">
        <f>SUM(F855:F882)</f>
        <v>44916000</v>
      </c>
      <c r="G883" s="27">
        <f t="shared" ref="G883:R883" si="124">SUM(G855:G882)</f>
        <v>0</v>
      </c>
      <c r="H883" s="27">
        <f t="shared" si="124"/>
        <v>14493000</v>
      </c>
      <c r="I883" s="27">
        <f t="shared" si="124"/>
        <v>0</v>
      </c>
      <c r="J883" s="27">
        <f t="shared" si="124"/>
        <v>29623000</v>
      </c>
      <c r="K883" s="27">
        <f t="shared" si="124"/>
        <v>0</v>
      </c>
      <c r="L883" s="27">
        <f t="shared" si="124"/>
        <v>800000</v>
      </c>
      <c r="M883" s="27">
        <f t="shared" si="124"/>
        <v>0</v>
      </c>
      <c r="N883" s="27">
        <f t="shared" si="124"/>
        <v>26620000</v>
      </c>
      <c r="O883" s="27">
        <f t="shared" si="124"/>
        <v>0</v>
      </c>
      <c r="P883" s="27">
        <f t="shared" si="124"/>
        <v>18296000</v>
      </c>
      <c r="Q883" s="27">
        <f t="shared" si="124"/>
        <v>0</v>
      </c>
      <c r="R883" s="27">
        <f t="shared" si="124"/>
        <v>0</v>
      </c>
    </row>
    <row r="884" spans="1:18" x14ac:dyDescent="0.2">
      <c r="A884" s="20"/>
      <c r="B884" s="20"/>
      <c r="C884" s="20"/>
      <c r="D884" s="20"/>
      <c r="E884" s="20"/>
      <c r="F884" s="21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</row>
    <row r="885" spans="1:18" x14ac:dyDescent="0.2">
      <c r="A885" s="20"/>
      <c r="B885" s="20"/>
      <c r="C885" s="20" t="s">
        <v>431</v>
      </c>
      <c r="D885" s="20"/>
      <c r="E885" s="20"/>
      <c r="F885" s="28">
        <f t="shared" ref="F885" si="125">SUM(H885:L885)</f>
        <v>1274000</v>
      </c>
      <c r="G885" s="20"/>
      <c r="H885" s="27">
        <v>1148000</v>
      </c>
      <c r="I885" s="20"/>
      <c r="J885" s="27">
        <v>124000</v>
      </c>
      <c r="K885" s="20"/>
      <c r="L885" s="27">
        <v>2000</v>
      </c>
      <c r="M885" s="20"/>
      <c r="N885" s="27">
        <v>866000</v>
      </c>
      <c r="O885" s="20"/>
      <c r="P885" s="27">
        <v>408000</v>
      </c>
      <c r="Q885" s="20"/>
      <c r="R885" s="27">
        <v>0</v>
      </c>
    </row>
    <row r="886" spans="1:18" x14ac:dyDescent="0.2">
      <c r="A886" s="20"/>
      <c r="B886" s="20"/>
      <c r="C886" s="20"/>
      <c r="D886" s="20"/>
      <c r="E886" s="20"/>
      <c r="F886" s="21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</row>
    <row r="887" spans="1:18" x14ac:dyDescent="0.2">
      <c r="A887" s="20"/>
      <c r="B887" s="20"/>
      <c r="C887" s="20" t="s">
        <v>432</v>
      </c>
      <c r="D887" s="20"/>
      <c r="E887" s="20"/>
      <c r="F887" s="21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</row>
    <row r="888" spans="1:18" x14ac:dyDescent="0.2">
      <c r="A888" s="20"/>
      <c r="B888" s="20"/>
      <c r="C888" s="20"/>
      <c r="D888" s="20"/>
      <c r="E888" s="20" t="s">
        <v>433</v>
      </c>
      <c r="F888" s="31">
        <f t="shared" ref="F888:F890" si="126">SUM(H888:L888)</f>
        <v>3270000</v>
      </c>
      <c r="G888" s="20"/>
      <c r="H888" s="25">
        <v>23000</v>
      </c>
      <c r="I888" s="20"/>
      <c r="J888" s="25">
        <v>3247000</v>
      </c>
      <c r="K888" s="20"/>
      <c r="L888" s="25">
        <v>0</v>
      </c>
      <c r="M888" s="20"/>
      <c r="N888" s="25">
        <v>2109000</v>
      </c>
      <c r="O888" s="20"/>
      <c r="P888" s="25">
        <v>1161000</v>
      </c>
      <c r="Q888" s="20"/>
      <c r="R888" s="25">
        <v>0</v>
      </c>
    </row>
    <row r="889" spans="1:18" x14ac:dyDescent="0.2">
      <c r="A889" s="20"/>
      <c r="B889" s="20"/>
      <c r="C889" s="20"/>
      <c r="D889" s="20"/>
      <c r="E889" s="20" t="s">
        <v>434</v>
      </c>
      <c r="F889" s="31">
        <f t="shared" si="126"/>
        <v>1944000</v>
      </c>
      <c r="G889" s="20"/>
      <c r="H889" s="25">
        <v>17000</v>
      </c>
      <c r="I889" s="20"/>
      <c r="J889" s="25">
        <v>1927000</v>
      </c>
      <c r="K889" s="20"/>
      <c r="L889" s="25">
        <v>0</v>
      </c>
      <c r="M889" s="20"/>
      <c r="N889" s="25">
        <v>1272000</v>
      </c>
      <c r="O889" s="20"/>
      <c r="P889" s="25">
        <v>672000</v>
      </c>
      <c r="Q889" s="20"/>
      <c r="R889" s="25">
        <v>0</v>
      </c>
    </row>
    <row r="890" spans="1:18" x14ac:dyDescent="0.2">
      <c r="A890" s="20"/>
      <c r="B890" s="20"/>
      <c r="C890" s="20"/>
      <c r="D890" s="20"/>
      <c r="E890" s="20" t="s">
        <v>435</v>
      </c>
      <c r="F890" s="28">
        <f t="shared" si="126"/>
        <v>1133000</v>
      </c>
      <c r="G890" s="20"/>
      <c r="H890" s="27">
        <v>0</v>
      </c>
      <c r="I890" s="20"/>
      <c r="J890" s="27">
        <v>1133000</v>
      </c>
      <c r="K890" s="20"/>
      <c r="L890" s="27">
        <v>0</v>
      </c>
      <c r="M890" s="20"/>
      <c r="N890" s="27">
        <v>581000</v>
      </c>
      <c r="O890" s="20"/>
      <c r="P890" s="27">
        <v>552000</v>
      </c>
      <c r="Q890" s="20"/>
      <c r="R890" s="27">
        <v>0</v>
      </c>
    </row>
    <row r="891" spans="1:18" x14ac:dyDescent="0.2">
      <c r="A891" s="20"/>
      <c r="B891" s="20"/>
      <c r="C891" s="20"/>
      <c r="D891" s="20"/>
      <c r="E891" s="20"/>
      <c r="F891" s="21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</row>
    <row r="892" spans="1:18" x14ac:dyDescent="0.2">
      <c r="A892" s="20"/>
      <c r="B892" s="20"/>
      <c r="C892" s="20"/>
      <c r="D892" s="20"/>
      <c r="E892" s="20" t="s">
        <v>3</v>
      </c>
      <c r="F892" s="28">
        <f>SUM(F888:F891)</f>
        <v>6347000</v>
      </c>
      <c r="G892" s="27">
        <f t="shared" ref="G892:R892" si="127">SUM(G888:G891)</f>
        <v>0</v>
      </c>
      <c r="H892" s="27">
        <f t="shared" si="127"/>
        <v>40000</v>
      </c>
      <c r="I892" s="27">
        <f t="shared" si="127"/>
        <v>0</v>
      </c>
      <c r="J892" s="27">
        <f t="shared" si="127"/>
        <v>6307000</v>
      </c>
      <c r="K892" s="27">
        <f t="shared" si="127"/>
        <v>0</v>
      </c>
      <c r="L892" s="27">
        <f t="shared" si="127"/>
        <v>0</v>
      </c>
      <c r="M892" s="27">
        <f t="shared" si="127"/>
        <v>0</v>
      </c>
      <c r="N892" s="27">
        <f t="shared" si="127"/>
        <v>3962000</v>
      </c>
      <c r="O892" s="27">
        <f t="shared" si="127"/>
        <v>0</v>
      </c>
      <c r="P892" s="27">
        <f t="shared" si="127"/>
        <v>2385000</v>
      </c>
      <c r="Q892" s="27">
        <f t="shared" si="127"/>
        <v>0</v>
      </c>
      <c r="R892" s="27">
        <f t="shared" si="127"/>
        <v>0</v>
      </c>
    </row>
    <row r="893" spans="1:18" x14ac:dyDescent="0.2">
      <c r="A893" s="20"/>
      <c r="B893" s="20"/>
      <c r="C893" s="20"/>
      <c r="D893" s="20"/>
      <c r="E893" s="20"/>
      <c r="F893" s="21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</row>
    <row r="894" spans="1:18" x14ac:dyDescent="0.2">
      <c r="A894" s="20"/>
      <c r="B894" s="20"/>
      <c r="C894" s="20" t="s">
        <v>436</v>
      </c>
      <c r="D894" s="20"/>
      <c r="E894" s="20"/>
      <c r="F894" s="21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</row>
    <row r="895" spans="1:18" x14ac:dyDescent="0.2">
      <c r="A895" s="20"/>
      <c r="B895" s="20"/>
      <c r="C895" s="20"/>
      <c r="D895" s="20"/>
      <c r="E895" s="20" t="s">
        <v>437</v>
      </c>
      <c r="F895" s="31">
        <f t="shared" ref="F895:F898" si="128">SUM(H895:L895)</f>
        <v>6368000</v>
      </c>
      <c r="G895" s="20"/>
      <c r="H895" s="25">
        <v>3477000</v>
      </c>
      <c r="I895" s="20"/>
      <c r="J895" s="25">
        <v>2891000</v>
      </c>
      <c r="K895" s="20"/>
      <c r="L895" s="25">
        <v>0</v>
      </c>
      <c r="M895" s="20"/>
      <c r="N895" s="25">
        <v>4361000</v>
      </c>
      <c r="O895" s="20"/>
      <c r="P895" s="25">
        <v>2260000</v>
      </c>
      <c r="Q895" s="20"/>
      <c r="R895" s="25">
        <v>253000</v>
      </c>
    </row>
    <row r="896" spans="1:18" x14ac:dyDescent="0.2">
      <c r="A896" s="20"/>
      <c r="B896" s="20"/>
      <c r="C896" s="20"/>
      <c r="D896" s="20"/>
      <c r="E896" s="20" t="s">
        <v>438</v>
      </c>
      <c r="F896" s="31">
        <f t="shared" si="128"/>
        <v>2463000</v>
      </c>
      <c r="G896" s="20"/>
      <c r="H896" s="25">
        <v>1711000</v>
      </c>
      <c r="I896" s="20"/>
      <c r="J896" s="25">
        <v>752000</v>
      </c>
      <c r="K896" s="20"/>
      <c r="L896" s="25">
        <v>0</v>
      </c>
      <c r="M896" s="20"/>
      <c r="N896" s="25">
        <v>1486000</v>
      </c>
      <c r="O896" s="20"/>
      <c r="P896" s="25">
        <v>977000</v>
      </c>
      <c r="Q896" s="20"/>
      <c r="R896" s="25">
        <v>0</v>
      </c>
    </row>
    <row r="897" spans="1:18" x14ac:dyDescent="0.2">
      <c r="A897" s="20"/>
      <c r="B897" s="20"/>
      <c r="C897" s="20"/>
      <c r="D897" s="20"/>
      <c r="E897" s="20" t="s">
        <v>439</v>
      </c>
      <c r="F897" s="31">
        <f t="shared" si="128"/>
        <v>2011000</v>
      </c>
      <c r="G897" s="20"/>
      <c r="H897" s="25">
        <v>1041000</v>
      </c>
      <c r="I897" s="20"/>
      <c r="J897" s="25">
        <v>970000</v>
      </c>
      <c r="K897" s="20"/>
      <c r="L897" s="25">
        <v>0</v>
      </c>
      <c r="M897" s="20"/>
      <c r="N897" s="25">
        <v>1256000</v>
      </c>
      <c r="O897" s="20"/>
      <c r="P897" s="25">
        <v>755000</v>
      </c>
      <c r="Q897" s="20"/>
      <c r="R897" s="25">
        <v>0</v>
      </c>
    </row>
    <row r="898" spans="1:18" x14ac:dyDescent="0.2">
      <c r="A898" s="20"/>
      <c r="B898" s="20"/>
      <c r="C898" s="20"/>
      <c r="D898" s="20"/>
      <c r="E898" s="20" t="s">
        <v>440</v>
      </c>
      <c r="F898" s="28">
        <f t="shared" si="128"/>
        <v>2417000</v>
      </c>
      <c r="G898" s="20"/>
      <c r="H898" s="27">
        <v>1703000</v>
      </c>
      <c r="I898" s="20"/>
      <c r="J898" s="27">
        <v>712000</v>
      </c>
      <c r="K898" s="20"/>
      <c r="L898" s="27">
        <v>2000</v>
      </c>
      <c r="M898" s="20"/>
      <c r="N898" s="27">
        <v>1499000</v>
      </c>
      <c r="O898" s="20"/>
      <c r="P898" s="27">
        <v>918000</v>
      </c>
      <c r="Q898" s="20"/>
      <c r="R898" s="27">
        <v>0</v>
      </c>
    </row>
    <row r="899" spans="1:18" x14ac:dyDescent="0.2">
      <c r="A899" s="20"/>
      <c r="B899" s="20"/>
      <c r="C899" s="20"/>
      <c r="D899" s="20"/>
      <c r="E899" s="20"/>
      <c r="F899" s="21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</row>
    <row r="900" spans="1:18" x14ac:dyDescent="0.2">
      <c r="A900" s="20"/>
      <c r="B900" s="20"/>
      <c r="C900" s="20"/>
      <c r="D900" s="20"/>
      <c r="E900" s="20" t="s">
        <v>60</v>
      </c>
      <c r="F900" s="28">
        <f>SUM(F895:F899)</f>
        <v>13259000</v>
      </c>
      <c r="G900" s="27">
        <f t="shared" ref="G900:R900" si="129">SUM(G895:G899)</f>
        <v>0</v>
      </c>
      <c r="H900" s="27">
        <f t="shared" si="129"/>
        <v>7932000</v>
      </c>
      <c r="I900" s="27">
        <f t="shared" si="129"/>
        <v>0</v>
      </c>
      <c r="J900" s="27">
        <f t="shared" si="129"/>
        <v>5325000</v>
      </c>
      <c r="K900" s="27">
        <f t="shared" si="129"/>
        <v>0</v>
      </c>
      <c r="L900" s="27">
        <f t="shared" si="129"/>
        <v>2000</v>
      </c>
      <c r="M900" s="27">
        <f t="shared" si="129"/>
        <v>0</v>
      </c>
      <c r="N900" s="27">
        <f t="shared" si="129"/>
        <v>8602000</v>
      </c>
      <c r="O900" s="27">
        <f t="shared" si="129"/>
        <v>0</v>
      </c>
      <c r="P900" s="27">
        <f t="shared" si="129"/>
        <v>4910000</v>
      </c>
      <c r="Q900" s="27">
        <f t="shared" si="129"/>
        <v>0</v>
      </c>
      <c r="R900" s="27">
        <f t="shared" si="129"/>
        <v>253000</v>
      </c>
    </row>
    <row r="901" spans="1:18" x14ac:dyDescent="0.2">
      <c r="A901" s="20"/>
      <c r="B901" s="20"/>
      <c r="C901" s="20"/>
      <c r="D901" s="20"/>
      <c r="E901" s="20"/>
      <c r="F901" s="21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</row>
    <row r="902" spans="1:18" x14ac:dyDescent="0.2">
      <c r="A902" s="20"/>
      <c r="B902" s="20"/>
      <c r="C902" s="20" t="s">
        <v>441</v>
      </c>
      <c r="D902" s="20"/>
      <c r="E902" s="20"/>
      <c r="F902" s="28">
        <f t="shared" ref="F902" si="130">SUM(H902:L902)</f>
        <v>1155000</v>
      </c>
      <c r="G902" s="20"/>
      <c r="H902" s="27">
        <v>109000</v>
      </c>
      <c r="I902" s="20"/>
      <c r="J902" s="27">
        <v>1046000</v>
      </c>
      <c r="K902" s="20"/>
      <c r="L902" s="27">
        <v>0</v>
      </c>
      <c r="M902" s="20"/>
      <c r="N902" s="27">
        <v>765000</v>
      </c>
      <c r="O902" s="20"/>
      <c r="P902" s="27">
        <v>390000</v>
      </c>
      <c r="Q902" s="20"/>
      <c r="R902" s="27">
        <v>0</v>
      </c>
    </row>
    <row r="903" spans="1:18" x14ac:dyDescent="0.2">
      <c r="A903" s="20"/>
      <c r="B903" s="20"/>
      <c r="C903" s="20"/>
      <c r="D903" s="20"/>
      <c r="E903" s="20"/>
      <c r="F903" s="21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</row>
    <row r="904" spans="1:18" x14ac:dyDescent="0.2">
      <c r="A904" s="20"/>
      <c r="B904" s="20"/>
      <c r="C904" s="20" t="s">
        <v>442</v>
      </c>
      <c r="D904" s="20"/>
      <c r="E904" s="20"/>
      <c r="F904" s="28">
        <f t="shared" ref="F904" si="131">SUM(H904:L904)</f>
        <v>1442000</v>
      </c>
      <c r="G904" s="20"/>
      <c r="H904" s="27">
        <v>812000</v>
      </c>
      <c r="I904" s="20"/>
      <c r="J904" s="27">
        <v>630000</v>
      </c>
      <c r="K904" s="20"/>
      <c r="L904" s="27">
        <v>0</v>
      </c>
      <c r="M904" s="20"/>
      <c r="N904" s="27">
        <v>1874000</v>
      </c>
      <c r="O904" s="20"/>
      <c r="P904" s="27">
        <v>-432000</v>
      </c>
      <c r="Q904" s="20"/>
      <c r="R904" s="27">
        <v>0</v>
      </c>
    </row>
    <row r="905" spans="1:18" x14ac:dyDescent="0.2">
      <c r="A905" s="20"/>
      <c r="B905" s="20"/>
      <c r="C905" s="20"/>
      <c r="D905" s="20"/>
      <c r="E905" s="20"/>
      <c r="F905" s="21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</row>
    <row r="906" spans="1:18" x14ac:dyDescent="0.2">
      <c r="A906" s="20"/>
      <c r="B906" s="20"/>
      <c r="C906" s="20" t="s">
        <v>443</v>
      </c>
      <c r="D906" s="20"/>
      <c r="E906" s="20"/>
      <c r="F906" s="21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</row>
    <row r="907" spans="1:18" x14ac:dyDescent="0.2">
      <c r="A907" s="20"/>
      <c r="B907" s="20"/>
      <c r="C907" s="20"/>
      <c r="D907" s="20" t="s">
        <v>33</v>
      </c>
      <c r="E907" s="20"/>
      <c r="F907" s="28">
        <f t="shared" ref="F907" si="132">SUM(H907:L907)</f>
        <v>5190000</v>
      </c>
      <c r="G907" s="20"/>
      <c r="H907" s="27">
        <v>1117000</v>
      </c>
      <c r="I907" s="20"/>
      <c r="J907" s="27">
        <v>3920000</v>
      </c>
      <c r="K907" s="20"/>
      <c r="L907" s="27">
        <v>153000</v>
      </c>
      <c r="M907" s="20"/>
      <c r="N907" s="27">
        <v>3183000</v>
      </c>
      <c r="O907" s="20"/>
      <c r="P907" s="27">
        <v>2370000</v>
      </c>
      <c r="Q907" s="20"/>
      <c r="R907" s="27">
        <v>363000</v>
      </c>
    </row>
    <row r="908" spans="1:18" x14ac:dyDescent="0.2">
      <c r="A908" s="20"/>
      <c r="B908" s="20"/>
      <c r="C908" s="20"/>
      <c r="D908" s="20"/>
      <c r="E908" s="20"/>
      <c r="F908" s="21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</row>
    <row r="909" spans="1:18" x14ac:dyDescent="0.2">
      <c r="A909" s="20"/>
      <c r="B909" s="20"/>
      <c r="C909" s="20" t="s">
        <v>444</v>
      </c>
      <c r="D909" s="20"/>
      <c r="E909" s="20"/>
      <c r="F909" s="28">
        <f t="shared" ref="F909" si="133">SUM(H909:L909)</f>
        <v>9034000</v>
      </c>
      <c r="G909" s="20"/>
      <c r="H909" s="27">
        <v>7836000</v>
      </c>
      <c r="I909" s="20"/>
      <c r="J909" s="27">
        <v>1142000</v>
      </c>
      <c r="K909" s="20"/>
      <c r="L909" s="27">
        <v>56000</v>
      </c>
      <c r="M909" s="20"/>
      <c r="N909" s="27">
        <v>4551000</v>
      </c>
      <c r="O909" s="20"/>
      <c r="P909" s="27">
        <v>4498000</v>
      </c>
      <c r="Q909" s="20"/>
      <c r="R909" s="27">
        <v>15000</v>
      </c>
    </row>
    <row r="910" spans="1:18" x14ac:dyDescent="0.2">
      <c r="A910" s="20"/>
      <c r="B910" s="20"/>
      <c r="C910" s="20"/>
      <c r="D910" s="20"/>
      <c r="E910" s="20"/>
      <c r="F910" s="21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</row>
    <row r="911" spans="1:18" x14ac:dyDescent="0.2">
      <c r="A911" s="20"/>
      <c r="B911" s="20"/>
      <c r="C911" s="20" t="s">
        <v>445</v>
      </c>
      <c r="D911" s="20"/>
      <c r="E911" s="20"/>
      <c r="F911" s="21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</row>
    <row r="912" spans="1:18" x14ac:dyDescent="0.2">
      <c r="A912" s="20"/>
      <c r="B912" s="20"/>
      <c r="C912" s="20"/>
      <c r="D912" s="20"/>
      <c r="E912" s="20" t="s">
        <v>326</v>
      </c>
      <c r="F912" s="31">
        <f t="shared" ref="F912:F917" si="134">SUM(H912:L912)</f>
        <v>12630000</v>
      </c>
      <c r="G912" s="20"/>
      <c r="H912" s="25">
        <v>6316000</v>
      </c>
      <c r="I912" s="20"/>
      <c r="J912" s="25">
        <v>6282000</v>
      </c>
      <c r="K912" s="20"/>
      <c r="L912" s="25">
        <v>32000</v>
      </c>
      <c r="M912" s="20"/>
      <c r="N912" s="25">
        <v>6192000</v>
      </c>
      <c r="O912" s="20"/>
      <c r="P912" s="25">
        <v>9933000</v>
      </c>
      <c r="Q912" s="20"/>
      <c r="R912" s="25">
        <v>3495000</v>
      </c>
    </row>
    <row r="913" spans="1:18" x14ac:dyDescent="0.2">
      <c r="A913" s="20"/>
      <c r="B913" s="20"/>
      <c r="C913" s="20"/>
      <c r="D913" s="20"/>
      <c r="E913" s="20" t="s">
        <v>446</v>
      </c>
      <c r="F913" s="31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</row>
    <row r="914" spans="1:18" x14ac:dyDescent="0.2">
      <c r="A914" s="20"/>
      <c r="B914" s="20"/>
      <c r="C914" s="20"/>
      <c r="D914" s="20"/>
      <c r="E914" s="20" t="s">
        <v>447</v>
      </c>
      <c r="F914" s="31">
        <f t="shared" si="134"/>
        <v>4033000</v>
      </c>
      <c r="G914" s="20"/>
      <c r="H914" s="25">
        <v>785000</v>
      </c>
      <c r="I914" s="20"/>
      <c r="J914" s="25">
        <v>3245000</v>
      </c>
      <c r="K914" s="20"/>
      <c r="L914" s="25">
        <v>3000</v>
      </c>
      <c r="M914" s="20"/>
      <c r="N914" s="25">
        <v>1274000</v>
      </c>
      <c r="O914" s="20"/>
      <c r="P914" s="25">
        <v>2759000</v>
      </c>
      <c r="Q914" s="20"/>
      <c r="R914" s="25">
        <v>0</v>
      </c>
    </row>
    <row r="915" spans="1:18" x14ac:dyDescent="0.2">
      <c r="A915" s="20"/>
      <c r="B915" s="20"/>
      <c r="C915" s="20"/>
      <c r="D915" s="20"/>
      <c r="E915" s="20" t="s">
        <v>448</v>
      </c>
      <c r="F915" s="31">
        <f t="shared" si="134"/>
        <v>263000</v>
      </c>
      <c r="G915" s="20"/>
      <c r="H915" s="25">
        <v>1000</v>
      </c>
      <c r="I915" s="20"/>
      <c r="J915" s="25">
        <v>262000</v>
      </c>
      <c r="K915" s="20"/>
      <c r="L915" s="25">
        <v>0</v>
      </c>
      <c r="M915" s="20"/>
      <c r="N915" s="25">
        <v>166000</v>
      </c>
      <c r="O915" s="20"/>
      <c r="P915" s="25">
        <v>97000</v>
      </c>
      <c r="Q915" s="20"/>
      <c r="R915" s="25">
        <v>0</v>
      </c>
    </row>
    <row r="916" spans="1:18" x14ac:dyDescent="0.2">
      <c r="A916" s="20"/>
      <c r="B916" s="20"/>
      <c r="C916" s="20"/>
      <c r="D916" s="20"/>
      <c r="E916" s="20" t="s">
        <v>449</v>
      </c>
      <c r="F916" s="31">
        <f t="shared" si="134"/>
        <v>1901000</v>
      </c>
      <c r="G916" s="20"/>
      <c r="H916" s="25">
        <v>1329000</v>
      </c>
      <c r="I916" s="20"/>
      <c r="J916" s="25">
        <v>572000</v>
      </c>
      <c r="K916" s="20"/>
      <c r="L916" s="25">
        <v>0</v>
      </c>
      <c r="M916" s="20"/>
      <c r="N916" s="25">
        <v>1045000</v>
      </c>
      <c r="O916" s="20"/>
      <c r="P916" s="25">
        <v>856000</v>
      </c>
      <c r="Q916" s="20"/>
      <c r="R916" s="25">
        <v>0</v>
      </c>
    </row>
    <row r="917" spans="1:18" x14ac:dyDescent="0.2">
      <c r="A917" s="20"/>
      <c r="B917" s="20"/>
      <c r="C917" s="20"/>
      <c r="D917" s="20"/>
      <c r="E917" s="20" t="s">
        <v>450</v>
      </c>
      <c r="F917" s="28">
        <f t="shared" si="134"/>
        <v>7026000</v>
      </c>
      <c r="G917" s="20"/>
      <c r="H917" s="27">
        <v>5759000</v>
      </c>
      <c r="I917" s="20"/>
      <c r="J917" s="27">
        <v>1267000</v>
      </c>
      <c r="K917" s="20"/>
      <c r="L917" s="27">
        <v>0</v>
      </c>
      <c r="M917" s="20"/>
      <c r="N917" s="27">
        <v>4524000</v>
      </c>
      <c r="O917" s="20"/>
      <c r="P917" s="27">
        <v>4904000</v>
      </c>
      <c r="Q917" s="20"/>
      <c r="R917" s="27">
        <v>2402000</v>
      </c>
    </row>
    <row r="918" spans="1:18" x14ac:dyDescent="0.2">
      <c r="A918" s="20"/>
      <c r="B918" s="20"/>
      <c r="C918" s="20"/>
      <c r="D918" s="20"/>
      <c r="E918" s="20"/>
      <c r="F918" s="21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</row>
    <row r="919" spans="1:18" x14ac:dyDescent="0.2">
      <c r="A919" s="20"/>
      <c r="B919" s="20"/>
      <c r="C919" s="20"/>
      <c r="D919" s="20"/>
      <c r="E919" s="20" t="s">
        <v>60</v>
      </c>
      <c r="F919" s="28">
        <f>SUM(F912:F918)</f>
        <v>25853000</v>
      </c>
      <c r="G919" s="27">
        <f t="shared" ref="G919:R919" si="135">SUM(G912:G918)</f>
        <v>0</v>
      </c>
      <c r="H919" s="27">
        <f t="shared" si="135"/>
        <v>14190000</v>
      </c>
      <c r="I919" s="27">
        <f t="shared" si="135"/>
        <v>0</v>
      </c>
      <c r="J919" s="27">
        <f t="shared" si="135"/>
        <v>11628000</v>
      </c>
      <c r="K919" s="27">
        <f t="shared" si="135"/>
        <v>0</v>
      </c>
      <c r="L919" s="27">
        <f t="shared" si="135"/>
        <v>35000</v>
      </c>
      <c r="M919" s="27">
        <f t="shared" si="135"/>
        <v>0</v>
      </c>
      <c r="N919" s="27">
        <f t="shared" si="135"/>
        <v>13201000</v>
      </c>
      <c r="O919" s="27">
        <f t="shared" si="135"/>
        <v>0</v>
      </c>
      <c r="P919" s="27">
        <f t="shared" si="135"/>
        <v>18549000</v>
      </c>
      <c r="Q919" s="27">
        <f t="shared" si="135"/>
        <v>0</v>
      </c>
      <c r="R919" s="27">
        <f t="shared" si="135"/>
        <v>5897000</v>
      </c>
    </row>
    <row r="920" spans="1:18" x14ac:dyDescent="0.2">
      <c r="A920" s="20"/>
      <c r="B920" s="20"/>
      <c r="C920" s="20"/>
      <c r="D920" s="20"/>
      <c r="E920" s="20"/>
      <c r="F920" s="21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</row>
    <row r="921" spans="1:18" x14ac:dyDescent="0.2">
      <c r="A921" s="20"/>
      <c r="B921" s="20"/>
      <c r="C921" s="20" t="s">
        <v>451</v>
      </c>
      <c r="D921" s="20"/>
      <c r="E921" s="20"/>
      <c r="F921" s="21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</row>
    <row r="922" spans="1:18" x14ac:dyDescent="0.2">
      <c r="A922" s="20"/>
      <c r="B922" s="20"/>
      <c r="C922" s="20"/>
      <c r="D922" s="20" t="s">
        <v>452</v>
      </c>
      <c r="E922" s="20"/>
      <c r="F922" s="28">
        <f t="shared" ref="F922" si="136">SUM(H922:L922)</f>
        <v>2819000</v>
      </c>
      <c r="G922" s="20"/>
      <c r="H922" s="27">
        <v>1722000</v>
      </c>
      <c r="I922" s="20"/>
      <c r="J922" s="27">
        <v>1092000</v>
      </c>
      <c r="K922" s="20"/>
      <c r="L922" s="27">
        <v>5000</v>
      </c>
      <c r="M922" s="20"/>
      <c r="N922" s="27">
        <v>2582000</v>
      </c>
      <c r="O922" s="20"/>
      <c r="P922" s="27">
        <v>1106000</v>
      </c>
      <c r="Q922" s="20"/>
      <c r="R922" s="27">
        <v>869000</v>
      </c>
    </row>
    <row r="923" spans="1:18" x14ac:dyDescent="0.2">
      <c r="A923" s="20"/>
      <c r="B923" s="20"/>
      <c r="C923" s="20"/>
      <c r="D923" s="20"/>
      <c r="E923" s="20"/>
      <c r="F923" s="21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</row>
    <row r="924" spans="1:18" x14ac:dyDescent="0.2">
      <c r="A924" s="20"/>
      <c r="B924" s="20"/>
      <c r="C924" s="20" t="s">
        <v>453</v>
      </c>
      <c r="D924" s="20"/>
      <c r="E924" s="20"/>
      <c r="F924" s="21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</row>
    <row r="925" spans="1:18" x14ac:dyDescent="0.2">
      <c r="A925" s="20"/>
      <c r="B925" s="20"/>
      <c r="C925" s="20"/>
      <c r="D925" s="20"/>
      <c r="E925" s="20" t="s">
        <v>454</v>
      </c>
      <c r="F925" s="31">
        <f t="shared" ref="F925:F926" si="137">SUM(H925:L925)</f>
        <v>7885000</v>
      </c>
      <c r="G925" s="20"/>
      <c r="H925" s="25">
        <v>4742000</v>
      </c>
      <c r="I925" s="20"/>
      <c r="J925" s="25">
        <v>3143000</v>
      </c>
      <c r="K925" s="20"/>
      <c r="L925" s="25">
        <v>0</v>
      </c>
      <c r="M925" s="20"/>
      <c r="N925" s="25">
        <v>4622000</v>
      </c>
      <c r="O925" s="20"/>
      <c r="P925" s="25">
        <v>3263000</v>
      </c>
      <c r="Q925" s="20"/>
      <c r="R925" s="25">
        <v>0</v>
      </c>
    </row>
    <row r="926" spans="1:18" x14ac:dyDescent="0.2">
      <c r="A926" s="20"/>
      <c r="B926" s="20"/>
      <c r="C926" s="20"/>
      <c r="D926" s="20"/>
      <c r="E926" s="20" t="s">
        <v>455</v>
      </c>
      <c r="F926" s="28">
        <f t="shared" si="137"/>
        <v>349000</v>
      </c>
      <c r="G926" s="20"/>
      <c r="H926" s="27">
        <v>128000</v>
      </c>
      <c r="I926" s="20"/>
      <c r="J926" s="27">
        <v>185000</v>
      </c>
      <c r="K926" s="20"/>
      <c r="L926" s="27">
        <v>36000</v>
      </c>
      <c r="M926" s="20"/>
      <c r="N926" s="27">
        <v>182000</v>
      </c>
      <c r="O926" s="20"/>
      <c r="P926" s="27">
        <v>167000</v>
      </c>
      <c r="Q926" s="20"/>
      <c r="R926" s="27">
        <v>0</v>
      </c>
    </row>
    <row r="927" spans="1:18" x14ac:dyDescent="0.2">
      <c r="A927" s="20"/>
      <c r="B927" s="20"/>
      <c r="C927" s="20"/>
      <c r="D927" s="20"/>
      <c r="E927" s="20"/>
      <c r="F927" s="21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</row>
    <row r="928" spans="1:18" x14ac:dyDescent="0.2">
      <c r="A928" s="20"/>
      <c r="B928" s="20"/>
      <c r="C928" s="20"/>
      <c r="D928" s="20"/>
      <c r="E928" s="20" t="s">
        <v>60</v>
      </c>
      <c r="F928" s="28">
        <f>SUM(F925:F927)</f>
        <v>8234000</v>
      </c>
      <c r="G928" s="27">
        <f t="shared" ref="G928:R928" si="138">SUM(G925:G927)</f>
        <v>0</v>
      </c>
      <c r="H928" s="27">
        <f t="shared" si="138"/>
        <v>4870000</v>
      </c>
      <c r="I928" s="27">
        <f t="shared" si="138"/>
        <v>0</v>
      </c>
      <c r="J928" s="27">
        <f t="shared" si="138"/>
        <v>3328000</v>
      </c>
      <c r="K928" s="27">
        <f t="shared" si="138"/>
        <v>0</v>
      </c>
      <c r="L928" s="27">
        <f t="shared" si="138"/>
        <v>36000</v>
      </c>
      <c r="M928" s="27">
        <f t="shared" si="138"/>
        <v>0</v>
      </c>
      <c r="N928" s="27">
        <f t="shared" si="138"/>
        <v>4804000</v>
      </c>
      <c r="O928" s="27">
        <f t="shared" si="138"/>
        <v>0</v>
      </c>
      <c r="P928" s="27">
        <f t="shared" si="138"/>
        <v>3430000</v>
      </c>
      <c r="Q928" s="27">
        <f t="shared" si="138"/>
        <v>0</v>
      </c>
      <c r="R928" s="27">
        <f t="shared" si="138"/>
        <v>0</v>
      </c>
    </row>
    <row r="929" spans="1:18" x14ac:dyDescent="0.2">
      <c r="A929" s="20"/>
      <c r="B929" s="20"/>
      <c r="C929" s="20"/>
      <c r="D929" s="20"/>
      <c r="E929" s="20"/>
      <c r="F929" s="21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</row>
    <row r="930" spans="1:18" x14ac:dyDescent="0.2">
      <c r="A930" s="20"/>
      <c r="B930" s="20"/>
      <c r="C930" s="20" t="s">
        <v>456</v>
      </c>
      <c r="D930" s="20"/>
      <c r="E930" s="20"/>
      <c r="F930" s="21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</row>
    <row r="931" spans="1:18" x14ac:dyDescent="0.2">
      <c r="A931" s="20"/>
      <c r="B931" s="20"/>
      <c r="C931" s="20"/>
      <c r="D931" s="20"/>
      <c r="E931" s="20" t="s">
        <v>457</v>
      </c>
      <c r="F931" s="31">
        <f t="shared" ref="F931:F938" si="139">SUM(H931:L931)</f>
        <v>1890000</v>
      </c>
      <c r="G931" s="20"/>
      <c r="H931" s="25">
        <v>751000</v>
      </c>
      <c r="I931" s="20"/>
      <c r="J931" s="25">
        <v>1139000</v>
      </c>
      <c r="K931" s="20"/>
      <c r="L931" s="25">
        <v>0</v>
      </c>
      <c r="M931" s="20"/>
      <c r="N931" s="25">
        <v>1217000</v>
      </c>
      <c r="O931" s="20"/>
      <c r="P931" s="25">
        <v>673000</v>
      </c>
      <c r="Q931" s="20"/>
      <c r="R931" s="25">
        <v>0</v>
      </c>
    </row>
    <row r="932" spans="1:18" x14ac:dyDescent="0.2">
      <c r="A932" s="20"/>
      <c r="B932" s="20"/>
      <c r="C932" s="20"/>
      <c r="D932" s="20"/>
      <c r="E932" s="20" t="s">
        <v>458</v>
      </c>
      <c r="F932" s="31">
        <f t="shared" si="139"/>
        <v>3623000</v>
      </c>
      <c r="G932" s="20"/>
      <c r="H932" s="25">
        <v>0</v>
      </c>
      <c r="I932" s="20"/>
      <c r="J932" s="25">
        <v>3559000</v>
      </c>
      <c r="K932" s="20"/>
      <c r="L932" s="25">
        <v>64000</v>
      </c>
      <c r="M932" s="20"/>
      <c r="N932" s="25">
        <v>2312000</v>
      </c>
      <c r="O932" s="20"/>
      <c r="P932" s="25">
        <v>1332000</v>
      </c>
      <c r="Q932" s="20"/>
      <c r="R932" s="25">
        <v>21000</v>
      </c>
    </row>
    <row r="933" spans="1:18" x14ac:dyDescent="0.2">
      <c r="A933" s="20"/>
      <c r="B933" s="20"/>
      <c r="C933" s="20"/>
      <c r="D933" s="20"/>
      <c r="E933" s="20" t="s">
        <v>459</v>
      </c>
      <c r="F933" s="31">
        <f t="shared" si="139"/>
        <v>5000</v>
      </c>
      <c r="G933" s="20"/>
      <c r="H933" s="25">
        <v>0</v>
      </c>
      <c r="I933" s="20"/>
      <c r="J933" s="25">
        <v>5000</v>
      </c>
      <c r="K933" s="20"/>
      <c r="L933" s="25">
        <v>0</v>
      </c>
      <c r="M933" s="20"/>
      <c r="N933" s="25">
        <v>0</v>
      </c>
      <c r="O933" s="20"/>
      <c r="P933" s="25">
        <v>5000</v>
      </c>
      <c r="Q933" s="20"/>
      <c r="R933" s="25">
        <v>0</v>
      </c>
    </row>
    <row r="934" spans="1:18" x14ac:dyDescent="0.2">
      <c r="A934" s="20"/>
      <c r="B934" s="20"/>
      <c r="C934" s="20"/>
      <c r="D934" s="20"/>
      <c r="E934" s="20" t="s">
        <v>297</v>
      </c>
      <c r="F934" s="31">
        <f t="shared" si="139"/>
        <v>64777000</v>
      </c>
      <c r="G934" s="20"/>
      <c r="H934" s="25">
        <v>0</v>
      </c>
      <c r="I934" s="20"/>
      <c r="J934" s="25">
        <v>64770000</v>
      </c>
      <c r="K934" s="20"/>
      <c r="L934" s="25">
        <v>7000</v>
      </c>
      <c r="M934" s="20"/>
      <c r="N934" s="25">
        <v>41939000</v>
      </c>
      <c r="O934" s="20"/>
      <c r="P934" s="25">
        <v>22838000</v>
      </c>
      <c r="Q934" s="20"/>
      <c r="R934" s="25">
        <v>0</v>
      </c>
    </row>
    <row r="935" spans="1:18" x14ac:dyDescent="0.2">
      <c r="A935" s="20"/>
      <c r="B935" s="20"/>
      <c r="C935" s="20"/>
      <c r="D935" s="20"/>
      <c r="E935" s="20" t="s">
        <v>460</v>
      </c>
      <c r="F935" s="31">
        <f t="shared" si="139"/>
        <v>718000</v>
      </c>
      <c r="G935" s="20"/>
      <c r="H935" s="25">
        <v>345000</v>
      </c>
      <c r="I935" s="20"/>
      <c r="J935" s="25">
        <v>363000</v>
      </c>
      <c r="K935" s="20"/>
      <c r="L935" s="25">
        <v>10000</v>
      </c>
      <c r="M935" s="20"/>
      <c r="N935" s="25">
        <v>463000</v>
      </c>
      <c r="O935" s="20"/>
      <c r="P935" s="25">
        <v>255000</v>
      </c>
      <c r="Q935" s="20"/>
      <c r="R935" s="25">
        <v>0</v>
      </c>
    </row>
    <row r="936" spans="1:18" x14ac:dyDescent="0.2">
      <c r="A936" s="20"/>
      <c r="B936" s="20"/>
      <c r="C936" s="20"/>
      <c r="D936" s="20"/>
      <c r="E936" s="20" t="s">
        <v>461</v>
      </c>
      <c r="F936" s="31">
        <f t="shared" si="139"/>
        <v>1825000</v>
      </c>
      <c r="G936" s="20"/>
      <c r="H936" s="25">
        <v>519000</v>
      </c>
      <c r="I936" s="20"/>
      <c r="J936" s="25">
        <v>1190000</v>
      </c>
      <c r="K936" s="20"/>
      <c r="L936" s="25">
        <v>116000</v>
      </c>
      <c r="M936" s="20"/>
      <c r="N936" s="25">
        <v>1132000</v>
      </c>
      <c r="O936" s="20"/>
      <c r="P936" s="25">
        <v>693000</v>
      </c>
      <c r="Q936" s="20"/>
      <c r="R936" s="25">
        <v>0</v>
      </c>
    </row>
    <row r="937" spans="1:18" x14ac:dyDescent="0.2">
      <c r="A937" s="20"/>
      <c r="B937" s="20"/>
      <c r="C937" s="20"/>
      <c r="D937" s="20"/>
      <c r="E937" s="20" t="s">
        <v>462</v>
      </c>
      <c r="F937" s="31">
        <f t="shared" si="139"/>
        <v>0</v>
      </c>
      <c r="G937" s="20"/>
      <c r="H937" s="25">
        <v>0</v>
      </c>
      <c r="I937" s="20"/>
      <c r="J937" s="25">
        <v>0</v>
      </c>
      <c r="K937" s="20"/>
      <c r="L937" s="25">
        <v>0</v>
      </c>
      <c r="M937" s="20"/>
      <c r="N937" s="25">
        <v>0</v>
      </c>
      <c r="O937" s="20"/>
      <c r="P937" s="25">
        <v>0</v>
      </c>
      <c r="Q937" s="20"/>
      <c r="R937" s="25">
        <v>0</v>
      </c>
    </row>
    <row r="938" spans="1:18" x14ac:dyDescent="0.2">
      <c r="A938" s="20"/>
      <c r="B938" s="20"/>
      <c r="C938" s="20"/>
      <c r="D938" s="20"/>
      <c r="E938" s="20" t="s">
        <v>234</v>
      </c>
      <c r="F938" s="28">
        <f t="shared" si="139"/>
        <v>-18977000</v>
      </c>
      <c r="G938" s="20"/>
      <c r="H938" s="27">
        <v>66808000</v>
      </c>
      <c r="I938" s="20"/>
      <c r="J938" s="27">
        <v>-95514000</v>
      </c>
      <c r="K938" s="20"/>
      <c r="L938" s="27">
        <v>9729000</v>
      </c>
      <c r="M938" s="20"/>
      <c r="N938" s="27">
        <v>10154000</v>
      </c>
      <c r="O938" s="20"/>
      <c r="P938" s="27">
        <v>-26724000</v>
      </c>
      <c r="Q938" s="20"/>
      <c r="R938" s="27">
        <v>2407000</v>
      </c>
    </row>
    <row r="939" spans="1:18" x14ac:dyDescent="0.2">
      <c r="A939" s="20"/>
      <c r="B939" s="20"/>
      <c r="C939" s="20"/>
      <c r="D939" s="20"/>
      <c r="E939" s="20"/>
      <c r="F939" s="21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</row>
    <row r="940" spans="1:18" x14ac:dyDescent="0.2">
      <c r="A940" s="20"/>
      <c r="B940" s="20"/>
      <c r="C940" s="20"/>
      <c r="D940" s="20"/>
      <c r="E940" s="20" t="s">
        <v>60</v>
      </c>
      <c r="F940" s="28">
        <f>SUM(F931:F939)</f>
        <v>53861000</v>
      </c>
      <c r="G940" s="27">
        <f t="shared" ref="G940:R940" si="140">SUM(G931:G939)</f>
        <v>0</v>
      </c>
      <c r="H940" s="27">
        <f t="shared" si="140"/>
        <v>68423000</v>
      </c>
      <c r="I940" s="27">
        <f t="shared" si="140"/>
        <v>0</v>
      </c>
      <c r="J940" s="27">
        <f t="shared" si="140"/>
        <v>-24488000</v>
      </c>
      <c r="K940" s="27">
        <f t="shared" si="140"/>
        <v>0</v>
      </c>
      <c r="L940" s="27">
        <f t="shared" si="140"/>
        <v>9926000</v>
      </c>
      <c r="M940" s="27">
        <f t="shared" si="140"/>
        <v>0</v>
      </c>
      <c r="N940" s="27">
        <f t="shared" si="140"/>
        <v>57217000</v>
      </c>
      <c r="O940" s="27">
        <f t="shared" si="140"/>
        <v>0</v>
      </c>
      <c r="P940" s="27">
        <f t="shared" si="140"/>
        <v>-928000</v>
      </c>
      <c r="Q940" s="27">
        <f t="shared" si="140"/>
        <v>0</v>
      </c>
      <c r="R940" s="27">
        <f t="shared" si="140"/>
        <v>2428000</v>
      </c>
    </row>
    <row r="941" spans="1:18" x14ac:dyDescent="0.2">
      <c r="A941" s="20"/>
      <c r="B941" s="20"/>
      <c r="C941" s="20"/>
      <c r="D941" s="20"/>
      <c r="E941" s="20"/>
      <c r="F941" s="21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</row>
    <row r="942" spans="1:18" x14ac:dyDescent="0.2">
      <c r="A942" s="20"/>
      <c r="B942" s="20"/>
      <c r="C942" s="20" t="s">
        <v>463</v>
      </c>
      <c r="D942" s="20"/>
      <c r="E942" s="20"/>
      <c r="F942" s="28">
        <f t="shared" ref="F942" si="141">SUM(H942:L942)</f>
        <v>226000</v>
      </c>
      <c r="G942" s="20"/>
      <c r="H942" s="27">
        <v>1000</v>
      </c>
      <c r="I942" s="20"/>
      <c r="J942" s="27">
        <v>225000</v>
      </c>
      <c r="K942" s="20"/>
      <c r="L942" s="27">
        <v>0</v>
      </c>
      <c r="M942" s="20"/>
      <c r="N942" s="27">
        <v>561000</v>
      </c>
      <c r="O942" s="20"/>
      <c r="P942" s="27">
        <v>493000</v>
      </c>
      <c r="Q942" s="20"/>
      <c r="R942" s="27">
        <v>828000</v>
      </c>
    </row>
    <row r="943" spans="1:18" x14ac:dyDescent="0.2">
      <c r="A943" s="20"/>
      <c r="B943" s="20"/>
      <c r="C943" s="20"/>
      <c r="D943" s="20"/>
      <c r="E943" s="20"/>
      <c r="F943" s="21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</row>
    <row r="944" spans="1:18" x14ac:dyDescent="0.2">
      <c r="A944" s="20"/>
      <c r="B944" s="20"/>
      <c r="C944" s="20" t="s">
        <v>464</v>
      </c>
      <c r="D944" s="20"/>
      <c r="E944" s="20"/>
      <c r="F944" s="21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</row>
    <row r="945" spans="1:18" x14ac:dyDescent="0.2">
      <c r="A945" s="20"/>
      <c r="B945" s="20"/>
      <c r="C945" s="20"/>
      <c r="D945" s="20"/>
      <c r="E945" s="20" t="s">
        <v>465</v>
      </c>
      <c r="F945" s="31">
        <f t="shared" ref="F945:F946" si="142">SUM(H945:L945)</f>
        <v>102000</v>
      </c>
      <c r="G945" s="20"/>
      <c r="H945" s="25">
        <v>0</v>
      </c>
      <c r="I945" s="20"/>
      <c r="J945" s="25">
        <v>102000</v>
      </c>
      <c r="K945" s="20"/>
      <c r="L945" s="25">
        <v>0</v>
      </c>
      <c r="M945" s="20"/>
      <c r="N945" s="25">
        <v>174000</v>
      </c>
      <c r="O945" s="20"/>
      <c r="P945" s="25">
        <v>1298000</v>
      </c>
      <c r="Q945" s="20"/>
      <c r="R945" s="25">
        <v>1370000</v>
      </c>
    </row>
    <row r="946" spans="1:18" x14ac:dyDescent="0.2">
      <c r="A946" s="20"/>
      <c r="B946" s="20"/>
      <c r="C946" s="20"/>
      <c r="D946" s="20"/>
      <c r="E946" s="20" t="s">
        <v>466</v>
      </c>
      <c r="F946" s="28">
        <f t="shared" si="142"/>
        <v>3564000</v>
      </c>
      <c r="G946" s="20"/>
      <c r="H946" s="27">
        <v>0</v>
      </c>
      <c r="I946" s="20"/>
      <c r="J946" s="27">
        <v>3564000</v>
      </c>
      <c r="K946" s="20"/>
      <c r="L946" s="27">
        <v>0</v>
      </c>
      <c r="M946" s="20"/>
      <c r="N946" s="27">
        <v>1397000</v>
      </c>
      <c r="O946" s="20"/>
      <c r="P946" s="27">
        <v>2181000</v>
      </c>
      <c r="Q946" s="20"/>
      <c r="R946" s="27">
        <v>14000</v>
      </c>
    </row>
    <row r="947" spans="1:18" x14ac:dyDescent="0.2">
      <c r="A947" s="20"/>
      <c r="B947" s="20"/>
      <c r="C947" s="20"/>
      <c r="D947" s="20"/>
      <c r="E947" s="20"/>
      <c r="F947" s="21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</row>
    <row r="948" spans="1:18" x14ac:dyDescent="0.2">
      <c r="A948" s="20"/>
      <c r="B948" s="20"/>
      <c r="C948" s="20"/>
      <c r="D948" s="20"/>
      <c r="E948" s="20" t="s">
        <v>3</v>
      </c>
      <c r="F948" s="28">
        <f>SUM(F945:F947)</f>
        <v>3666000</v>
      </c>
      <c r="G948" s="27">
        <f t="shared" ref="G948:R948" si="143">SUM(G945:G947)</f>
        <v>0</v>
      </c>
      <c r="H948" s="27">
        <f t="shared" si="143"/>
        <v>0</v>
      </c>
      <c r="I948" s="27">
        <f t="shared" si="143"/>
        <v>0</v>
      </c>
      <c r="J948" s="27">
        <f t="shared" si="143"/>
        <v>3666000</v>
      </c>
      <c r="K948" s="27">
        <f t="shared" si="143"/>
        <v>0</v>
      </c>
      <c r="L948" s="27">
        <f t="shared" si="143"/>
        <v>0</v>
      </c>
      <c r="M948" s="27">
        <f t="shared" si="143"/>
        <v>0</v>
      </c>
      <c r="N948" s="27">
        <f t="shared" si="143"/>
        <v>1571000</v>
      </c>
      <c r="O948" s="27">
        <f t="shared" si="143"/>
        <v>0</v>
      </c>
      <c r="P948" s="27">
        <f t="shared" si="143"/>
        <v>3479000</v>
      </c>
      <c r="Q948" s="27">
        <f t="shared" si="143"/>
        <v>0</v>
      </c>
      <c r="R948" s="27">
        <f t="shared" si="143"/>
        <v>1384000</v>
      </c>
    </row>
    <row r="949" spans="1:18" x14ac:dyDescent="0.2">
      <c r="A949" s="20"/>
      <c r="B949" s="20"/>
      <c r="C949" s="20"/>
      <c r="D949" s="20"/>
      <c r="E949" s="20"/>
      <c r="F949" s="21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</row>
    <row r="950" spans="1:18" x14ac:dyDescent="0.2">
      <c r="A950" s="20"/>
      <c r="B950" s="20"/>
      <c r="C950" s="20" t="s">
        <v>467</v>
      </c>
      <c r="D950" s="20"/>
      <c r="E950" s="20"/>
      <c r="F950" s="28">
        <f t="shared" ref="F950" si="144">SUM(H950:L950)</f>
        <v>424000</v>
      </c>
      <c r="G950" s="20"/>
      <c r="H950" s="27">
        <v>387000</v>
      </c>
      <c r="I950" s="20"/>
      <c r="J950" s="27">
        <v>37000</v>
      </c>
      <c r="K950" s="20"/>
      <c r="L950" s="27">
        <v>0</v>
      </c>
      <c r="M950" s="20"/>
      <c r="N950" s="27">
        <v>438000</v>
      </c>
      <c r="O950" s="20"/>
      <c r="P950" s="27">
        <v>875000</v>
      </c>
      <c r="Q950" s="20"/>
      <c r="R950" s="27">
        <v>889000</v>
      </c>
    </row>
    <row r="951" spans="1:18" x14ac:dyDescent="0.2">
      <c r="A951" s="20"/>
      <c r="B951" s="20"/>
      <c r="C951" s="20"/>
      <c r="D951" s="20"/>
      <c r="E951" s="20"/>
      <c r="F951" s="21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</row>
    <row r="952" spans="1:18" x14ac:dyDescent="0.2">
      <c r="A952" s="20"/>
      <c r="B952" s="20"/>
      <c r="C952" s="20" t="s">
        <v>468</v>
      </c>
      <c r="D952" s="20"/>
      <c r="E952" s="20"/>
      <c r="F952" s="21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</row>
    <row r="953" spans="1:18" x14ac:dyDescent="0.2">
      <c r="A953" s="20"/>
      <c r="B953" s="20"/>
      <c r="C953" s="20"/>
      <c r="D953" s="20"/>
      <c r="E953" s="20" t="s">
        <v>469</v>
      </c>
      <c r="F953" s="31">
        <f t="shared" ref="F953:F956" si="145">SUM(H953:L953)</f>
        <v>2833000</v>
      </c>
      <c r="G953" s="20"/>
      <c r="H953" s="25">
        <v>-30000</v>
      </c>
      <c r="I953" s="20"/>
      <c r="J953" s="25">
        <v>2863000</v>
      </c>
      <c r="K953" s="20"/>
      <c r="L953" s="25">
        <v>0</v>
      </c>
      <c r="M953" s="20"/>
      <c r="N953" s="25">
        <v>1567000</v>
      </c>
      <c r="O953" s="20"/>
      <c r="P953" s="25">
        <v>1266000</v>
      </c>
      <c r="Q953" s="20"/>
      <c r="R953" s="25">
        <v>0</v>
      </c>
    </row>
    <row r="954" spans="1:18" x14ac:dyDescent="0.2">
      <c r="A954" s="20"/>
      <c r="B954" s="20"/>
      <c r="C954" s="20"/>
      <c r="D954" s="20"/>
      <c r="E954" s="20" t="s">
        <v>470</v>
      </c>
      <c r="F954" s="31">
        <f t="shared" si="145"/>
        <v>1470000</v>
      </c>
      <c r="G954" s="20"/>
      <c r="H954" s="25">
        <v>217000</v>
      </c>
      <c r="I954" s="20"/>
      <c r="J954" s="25">
        <v>1163000</v>
      </c>
      <c r="K954" s="20"/>
      <c r="L954" s="25">
        <v>90000</v>
      </c>
      <c r="M954" s="20"/>
      <c r="N954" s="25">
        <v>992000</v>
      </c>
      <c r="O954" s="20"/>
      <c r="P954" s="25">
        <v>478000</v>
      </c>
      <c r="Q954" s="20"/>
      <c r="R954" s="25">
        <v>0</v>
      </c>
    </row>
    <row r="955" spans="1:18" x14ac:dyDescent="0.2">
      <c r="A955" s="20"/>
      <c r="B955" s="20"/>
      <c r="C955" s="20"/>
      <c r="D955" s="20"/>
      <c r="E955" s="20" t="s">
        <v>471</v>
      </c>
      <c r="F955" s="31">
        <f t="shared" si="145"/>
        <v>689000</v>
      </c>
      <c r="G955" s="20"/>
      <c r="H955" s="25">
        <v>417000</v>
      </c>
      <c r="I955" s="20"/>
      <c r="J955" s="25">
        <v>272000</v>
      </c>
      <c r="K955" s="20"/>
      <c r="L955" s="25">
        <v>0</v>
      </c>
      <c r="M955" s="20"/>
      <c r="N955" s="25">
        <v>705000</v>
      </c>
      <c r="O955" s="20"/>
      <c r="P955" s="25">
        <v>2037000</v>
      </c>
      <c r="Q955" s="20"/>
      <c r="R955" s="25">
        <v>2053000</v>
      </c>
    </row>
    <row r="956" spans="1:18" x14ac:dyDescent="0.2">
      <c r="A956" s="20"/>
      <c r="B956" s="20"/>
      <c r="C956" s="20"/>
      <c r="D956" s="20"/>
      <c r="E956" s="20" t="s">
        <v>472</v>
      </c>
      <c r="F956" s="28">
        <f t="shared" si="145"/>
        <v>1910000</v>
      </c>
      <c r="G956" s="20"/>
      <c r="H956" s="27">
        <v>0</v>
      </c>
      <c r="I956" s="20"/>
      <c r="J956" s="27">
        <v>1910000</v>
      </c>
      <c r="K956" s="20"/>
      <c r="L956" s="27">
        <v>0</v>
      </c>
      <c r="M956" s="20"/>
      <c r="N956" s="27">
        <v>712000</v>
      </c>
      <c r="O956" s="20"/>
      <c r="P956" s="27">
        <v>1198000</v>
      </c>
      <c r="Q956" s="20"/>
      <c r="R956" s="27">
        <v>0</v>
      </c>
    </row>
    <row r="957" spans="1:18" x14ac:dyDescent="0.2">
      <c r="A957" s="20"/>
      <c r="B957" s="20"/>
      <c r="C957" s="20"/>
      <c r="D957" s="20"/>
      <c r="E957" s="20"/>
      <c r="F957" s="21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</row>
    <row r="958" spans="1:18" x14ac:dyDescent="0.2">
      <c r="A958" s="20"/>
      <c r="B958" s="20"/>
      <c r="C958" s="20"/>
      <c r="D958" s="20"/>
      <c r="E958" s="20" t="s">
        <v>3</v>
      </c>
      <c r="F958" s="28">
        <f>SUM(F953:F957)</f>
        <v>6902000</v>
      </c>
      <c r="G958" s="27">
        <f t="shared" ref="G958:R958" si="146">SUM(G953:G957)</f>
        <v>0</v>
      </c>
      <c r="H958" s="27">
        <f t="shared" si="146"/>
        <v>604000</v>
      </c>
      <c r="I958" s="27">
        <f t="shared" si="146"/>
        <v>0</v>
      </c>
      <c r="J958" s="27">
        <f t="shared" si="146"/>
        <v>6208000</v>
      </c>
      <c r="K958" s="27">
        <f t="shared" si="146"/>
        <v>0</v>
      </c>
      <c r="L958" s="27">
        <f t="shared" si="146"/>
        <v>90000</v>
      </c>
      <c r="M958" s="27">
        <f t="shared" si="146"/>
        <v>0</v>
      </c>
      <c r="N958" s="27">
        <f t="shared" si="146"/>
        <v>3976000</v>
      </c>
      <c r="O958" s="27">
        <f t="shared" si="146"/>
        <v>0</v>
      </c>
      <c r="P958" s="27">
        <f t="shared" si="146"/>
        <v>4979000</v>
      </c>
      <c r="Q958" s="27">
        <f t="shared" si="146"/>
        <v>0</v>
      </c>
      <c r="R958" s="27">
        <f t="shared" si="146"/>
        <v>2053000</v>
      </c>
    </row>
    <row r="959" spans="1:18" x14ac:dyDescent="0.2">
      <c r="A959" s="20"/>
      <c r="B959" s="20"/>
      <c r="C959" s="20"/>
      <c r="D959" s="20"/>
      <c r="E959" s="20"/>
      <c r="F959" s="21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</row>
    <row r="960" spans="1:18" x14ac:dyDescent="0.2">
      <c r="A960" s="20"/>
      <c r="B960" s="20"/>
      <c r="C960" s="20" t="s">
        <v>473</v>
      </c>
      <c r="D960" s="20"/>
      <c r="E960" s="20"/>
      <c r="F960" s="28">
        <f t="shared" ref="F960:F964" si="147">SUM(H960:L960)</f>
        <v>19246000</v>
      </c>
      <c r="G960" s="20"/>
      <c r="H960" s="27">
        <v>12336000</v>
      </c>
      <c r="I960" s="20"/>
      <c r="J960" s="27">
        <v>6901000</v>
      </c>
      <c r="K960" s="20"/>
      <c r="L960" s="27">
        <v>9000</v>
      </c>
      <c r="M960" s="20"/>
      <c r="N960" s="27">
        <v>13133000</v>
      </c>
      <c r="O960" s="20"/>
      <c r="P960" s="27">
        <v>12948000</v>
      </c>
      <c r="Q960" s="20"/>
      <c r="R960" s="27">
        <v>6835000</v>
      </c>
    </row>
    <row r="961" spans="1:18" x14ac:dyDescent="0.2">
      <c r="A961" s="20"/>
      <c r="B961" s="20"/>
      <c r="C961" s="20"/>
      <c r="D961" s="20"/>
      <c r="E961" s="20"/>
      <c r="F961" s="21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</row>
    <row r="962" spans="1:18" x14ac:dyDescent="0.2">
      <c r="A962" s="20"/>
      <c r="B962" s="20"/>
      <c r="C962" s="20" t="s">
        <v>474</v>
      </c>
      <c r="D962" s="20"/>
      <c r="E962" s="20"/>
      <c r="F962" s="28">
        <f t="shared" si="147"/>
        <v>8000</v>
      </c>
      <c r="G962" s="20"/>
      <c r="H962" s="27">
        <v>1000</v>
      </c>
      <c r="I962" s="20"/>
      <c r="J962" s="27">
        <v>7000</v>
      </c>
      <c r="K962" s="20"/>
      <c r="L962" s="27">
        <v>0</v>
      </c>
      <c r="M962" s="20"/>
      <c r="N962" s="27">
        <v>1620000</v>
      </c>
      <c r="O962" s="20"/>
      <c r="P962" s="27">
        <v>5990000</v>
      </c>
      <c r="Q962" s="20"/>
      <c r="R962" s="27">
        <v>7602000</v>
      </c>
    </row>
    <row r="963" spans="1:18" x14ac:dyDescent="0.2">
      <c r="A963" s="20"/>
      <c r="B963" s="20"/>
      <c r="C963" s="20"/>
      <c r="D963" s="20"/>
      <c r="E963" s="20"/>
      <c r="F963" s="21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</row>
    <row r="964" spans="1:18" x14ac:dyDescent="0.2">
      <c r="A964" s="20"/>
      <c r="B964" s="20"/>
      <c r="C964" s="20" t="s">
        <v>475</v>
      </c>
      <c r="D964" s="20"/>
      <c r="E964" s="20"/>
      <c r="F964" s="28">
        <f t="shared" si="147"/>
        <v>45160000</v>
      </c>
      <c r="G964" s="20"/>
      <c r="H964" s="27">
        <v>-1000</v>
      </c>
      <c r="I964" s="20"/>
      <c r="J964" s="27">
        <v>44491000</v>
      </c>
      <c r="K964" s="20"/>
      <c r="L964" s="27">
        <v>670000</v>
      </c>
      <c r="M964" s="20"/>
      <c r="N964" s="27">
        <v>25103000</v>
      </c>
      <c r="O964" s="20"/>
      <c r="P964" s="27">
        <v>20057000</v>
      </c>
      <c r="Q964" s="20"/>
      <c r="R964" s="27">
        <v>0</v>
      </c>
    </row>
    <row r="965" spans="1:18" x14ac:dyDescent="0.2">
      <c r="A965" s="20"/>
      <c r="B965" s="20"/>
      <c r="C965" s="20"/>
      <c r="D965" s="20"/>
      <c r="E965" s="20"/>
      <c r="F965" s="21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</row>
    <row r="966" spans="1:18" x14ac:dyDescent="0.2">
      <c r="A966" s="20"/>
      <c r="B966" s="20"/>
      <c r="C966" s="20" t="s">
        <v>476</v>
      </c>
      <c r="D966" s="20"/>
      <c r="E966" s="20"/>
      <c r="F966" s="21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</row>
    <row r="967" spans="1:18" x14ac:dyDescent="0.2">
      <c r="A967" s="20"/>
      <c r="B967" s="20"/>
      <c r="C967" s="20"/>
      <c r="D967" s="20"/>
      <c r="E967" s="20" t="s">
        <v>477</v>
      </c>
      <c r="F967" s="31">
        <f t="shared" ref="F967:F970" si="148">SUM(H967:L967)</f>
        <v>2187000</v>
      </c>
      <c r="G967" s="20"/>
      <c r="H967" s="25">
        <v>1536000</v>
      </c>
      <c r="I967" s="20"/>
      <c r="J967" s="25">
        <v>651000</v>
      </c>
      <c r="K967" s="20"/>
      <c r="L967" s="25">
        <v>0</v>
      </c>
      <c r="M967" s="20"/>
      <c r="N967" s="25">
        <v>990000</v>
      </c>
      <c r="O967" s="20"/>
      <c r="P967" s="25">
        <v>1197000</v>
      </c>
      <c r="Q967" s="20"/>
      <c r="R967" s="25">
        <v>0</v>
      </c>
    </row>
    <row r="968" spans="1:18" x14ac:dyDescent="0.2">
      <c r="A968" s="20"/>
      <c r="B968" s="20"/>
      <c r="C968" s="20"/>
      <c r="D968" s="20"/>
      <c r="E968" s="20" t="s">
        <v>478</v>
      </c>
      <c r="F968" s="31">
        <f t="shared" si="148"/>
        <v>1371000</v>
      </c>
      <c r="G968" s="20"/>
      <c r="H968" s="25">
        <v>0</v>
      </c>
      <c r="I968" s="20"/>
      <c r="J968" s="25">
        <v>1371000</v>
      </c>
      <c r="K968" s="20"/>
      <c r="L968" s="25">
        <v>0</v>
      </c>
      <c r="M968" s="20"/>
      <c r="N968" s="25">
        <v>921000</v>
      </c>
      <c r="O968" s="20"/>
      <c r="P968" s="25">
        <v>450000</v>
      </c>
      <c r="Q968" s="20"/>
      <c r="R968" s="25">
        <v>0</v>
      </c>
    </row>
    <row r="969" spans="1:18" x14ac:dyDescent="0.2">
      <c r="A969" s="20"/>
      <c r="B969" s="20"/>
      <c r="C969" s="20"/>
      <c r="D969" s="20"/>
      <c r="E969" s="20" t="s">
        <v>479</v>
      </c>
      <c r="F969" s="31">
        <f t="shared" si="148"/>
        <v>2520000</v>
      </c>
      <c r="G969" s="20"/>
      <c r="H969" s="25">
        <v>-4000</v>
      </c>
      <c r="I969" s="20"/>
      <c r="J969" s="25">
        <v>2419000</v>
      </c>
      <c r="K969" s="20"/>
      <c r="L969" s="25">
        <v>105000</v>
      </c>
      <c r="M969" s="20"/>
      <c r="N969" s="25">
        <v>1418000</v>
      </c>
      <c r="O969" s="20"/>
      <c r="P969" s="25">
        <v>1102000</v>
      </c>
      <c r="Q969" s="20"/>
      <c r="R969" s="25">
        <v>0</v>
      </c>
    </row>
    <row r="970" spans="1:18" x14ac:dyDescent="0.2">
      <c r="A970" s="20"/>
      <c r="B970" s="20"/>
      <c r="C970" s="20"/>
      <c r="D970" s="20"/>
      <c r="E970" s="20" t="s">
        <v>480</v>
      </c>
      <c r="F970" s="28">
        <f t="shared" si="148"/>
        <v>1471000</v>
      </c>
      <c r="G970" s="20"/>
      <c r="H970" s="27">
        <v>-3000</v>
      </c>
      <c r="I970" s="20"/>
      <c r="J970" s="27">
        <v>1473000</v>
      </c>
      <c r="K970" s="20"/>
      <c r="L970" s="27">
        <v>1000</v>
      </c>
      <c r="M970" s="20"/>
      <c r="N970" s="27">
        <v>951000</v>
      </c>
      <c r="O970" s="20"/>
      <c r="P970" s="27">
        <v>520000</v>
      </c>
      <c r="Q970" s="20"/>
      <c r="R970" s="27">
        <v>0</v>
      </c>
    </row>
    <row r="971" spans="1:18" x14ac:dyDescent="0.2">
      <c r="A971" s="20"/>
      <c r="B971" s="20"/>
      <c r="C971" s="20"/>
      <c r="D971" s="20"/>
      <c r="E971" s="20" t="s">
        <v>272</v>
      </c>
      <c r="F971" s="21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</row>
    <row r="972" spans="1:18" x14ac:dyDescent="0.2">
      <c r="A972" s="20"/>
      <c r="B972" s="20"/>
      <c r="C972" s="20"/>
      <c r="D972" s="20"/>
      <c r="E972" s="20" t="s">
        <v>3</v>
      </c>
      <c r="F972" s="28">
        <f>SUM(F967:F971)</f>
        <v>7549000</v>
      </c>
      <c r="G972" s="27">
        <f t="shared" ref="G972:R972" si="149">SUM(G967:G971)</f>
        <v>0</v>
      </c>
      <c r="H972" s="27">
        <f t="shared" si="149"/>
        <v>1529000</v>
      </c>
      <c r="I972" s="27">
        <f t="shared" si="149"/>
        <v>0</v>
      </c>
      <c r="J972" s="27">
        <f t="shared" si="149"/>
        <v>5914000</v>
      </c>
      <c r="K972" s="27">
        <f t="shared" si="149"/>
        <v>0</v>
      </c>
      <c r="L972" s="27">
        <f t="shared" si="149"/>
        <v>106000</v>
      </c>
      <c r="M972" s="27">
        <f t="shared" si="149"/>
        <v>0</v>
      </c>
      <c r="N972" s="27">
        <f t="shared" si="149"/>
        <v>4280000</v>
      </c>
      <c r="O972" s="27">
        <f t="shared" si="149"/>
        <v>0</v>
      </c>
      <c r="P972" s="27">
        <f t="shared" si="149"/>
        <v>3269000</v>
      </c>
      <c r="Q972" s="27">
        <f t="shared" si="149"/>
        <v>0</v>
      </c>
      <c r="R972" s="27">
        <f t="shared" si="149"/>
        <v>0</v>
      </c>
    </row>
    <row r="973" spans="1:18" x14ac:dyDescent="0.2">
      <c r="A973" s="20"/>
      <c r="B973" s="20"/>
      <c r="C973" s="20"/>
      <c r="D973" s="20"/>
      <c r="E973" s="20"/>
      <c r="F973" s="21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</row>
    <row r="974" spans="1:18" x14ac:dyDescent="0.2">
      <c r="A974" s="20"/>
      <c r="B974" s="20" t="s">
        <v>399</v>
      </c>
      <c r="C974" s="20"/>
      <c r="D974" s="20"/>
      <c r="E974" s="20"/>
      <c r="F974" s="21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</row>
    <row r="975" spans="1:18" x14ac:dyDescent="0.2">
      <c r="A975" s="20"/>
      <c r="B975" s="20"/>
      <c r="C975" s="20" t="s">
        <v>400</v>
      </c>
      <c r="D975" s="20"/>
      <c r="E975" s="20"/>
      <c r="F975" s="28">
        <f t="shared" ref="F975" si="150">SUM(H975:L975)</f>
        <v>1088000</v>
      </c>
      <c r="G975" s="20"/>
      <c r="H975" s="27">
        <v>-156000</v>
      </c>
      <c r="I975" s="20"/>
      <c r="J975" s="27">
        <v>1220000</v>
      </c>
      <c r="K975" s="20"/>
      <c r="L975" s="27">
        <v>24000</v>
      </c>
      <c r="M975" s="20"/>
      <c r="N975" s="27">
        <v>1048000</v>
      </c>
      <c r="O975" s="20"/>
      <c r="P975" s="27">
        <v>40000</v>
      </c>
      <c r="Q975" s="20"/>
      <c r="R975" s="27">
        <v>0</v>
      </c>
    </row>
    <row r="976" spans="1:18" x14ac:dyDescent="0.2">
      <c r="A976" s="20"/>
      <c r="B976" s="20"/>
      <c r="C976" s="20"/>
      <c r="D976" s="20"/>
      <c r="E976" s="20"/>
      <c r="F976" s="21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</row>
    <row r="977" spans="1:18" x14ac:dyDescent="0.2">
      <c r="A977" s="20"/>
      <c r="B977" s="20"/>
      <c r="C977" s="20"/>
      <c r="D977" s="20"/>
      <c r="E977" s="20" t="s">
        <v>481</v>
      </c>
      <c r="F977" s="32">
        <f>F883+F885+F892+F900+F902+F904+F907+F909+F919+F922+F928+F940+F942+F948+F950+F958+F960+F962+F964+F972+F975</f>
        <v>257653000</v>
      </c>
      <c r="G977" s="27">
        <f t="shared" ref="G977:R977" si="151">G883+G885+G892+G900+G902+G904+G907+G909+G919+G922+G928+G940+G942+G948+G950+G958+G960+G962+G964+G972+G975</f>
        <v>0</v>
      </c>
      <c r="H977" s="27">
        <f t="shared" si="151"/>
        <v>137393000</v>
      </c>
      <c r="I977" s="27">
        <f t="shared" si="151"/>
        <v>0</v>
      </c>
      <c r="J977" s="27">
        <f t="shared" si="151"/>
        <v>108346000</v>
      </c>
      <c r="K977" s="27">
        <f t="shared" si="151"/>
        <v>0</v>
      </c>
      <c r="L977" s="27">
        <f t="shared" si="151"/>
        <v>11914000</v>
      </c>
      <c r="M977" s="27">
        <f t="shared" si="151"/>
        <v>0</v>
      </c>
      <c r="N977" s="27">
        <f t="shared" si="151"/>
        <v>179957000</v>
      </c>
      <c r="O977" s="27">
        <f t="shared" si="151"/>
        <v>0</v>
      </c>
      <c r="P977" s="27">
        <f t="shared" si="151"/>
        <v>107112000</v>
      </c>
      <c r="Q977" s="27">
        <f t="shared" si="151"/>
        <v>0</v>
      </c>
      <c r="R977" s="27">
        <f t="shared" si="151"/>
        <v>29416000</v>
      </c>
    </row>
    <row r="978" spans="1:18" x14ac:dyDescent="0.2">
      <c r="A978" s="20"/>
      <c r="B978" s="20"/>
      <c r="C978" s="20"/>
      <c r="D978" s="20"/>
      <c r="E978" s="20"/>
      <c r="F978" s="21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</row>
    <row r="979" spans="1:18" x14ac:dyDescent="0.2">
      <c r="A979" s="22" t="s">
        <v>482</v>
      </c>
      <c r="B979" s="20"/>
      <c r="C979" s="20"/>
      <c r="D979" s="20"/>
      <c r="E979" s="20"/>
      <c r="F979" s="21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</row>
    <row r="980" spans="1:18" x14ac:dyDescent="0.2">
      <c r="A980" s="20"/>
      <c r="B980" s="22" t="s">
        <v>483</v>
      </c>
      <c r="C980" s="20"/>
      <c r="D980" s="20"/>
      <c r="E980" s="20"/>
      <c r="F980" s="21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</row>
    <row r="981" spans="1:18" x14ac:dyDescent="0.2">
      <c r="A981" s="20"/>
      <c r="B981" s="20"/>
      <c r="C981" s="20"/>
      <c r="D981" s="20"/>
      <c r="E981" s="20"/>
      <c r="F981" s="21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</row>
    <row r="982" spans="1:18" x14ac:dyDescent="0.2">
      <c r="A982" s="20"/>
      <c r="B982" s="20"/>
      <c r="C982" s="20" t="s">
        <v>484</v>
      </c>
      <c r="D982" s="20"/>
      <c r="E982" s="20"/>
      <c r="F982" s="31">
        <f t="shared" ref="F982:F992" si="152">SUM(H982:L982)</f>
        <v>6003000</v>
      </c>
      <c r="G982" s="20"/>
      <c r="H982" s="25">
        <v>9587000</v>
      </c>
      <c r="I982" s="20"/>
      <c r="J982" s="25">
        <v>-3682000</v>
      </c>
      <c r="K982" s="20"/>
      <c r="L982" s="25">
        <v>98000</v>
      </c>
      <c r="M982" s="20"/>
      <c r="N982" s="25">
        <v>8899000</v>
      </c>
      <c r="O982" s="20"/>
      <c r="P982" s="25">
        <v>7799000</v>
      </c>
      <c r="Q982" s="20"/>
      <c r="R982" s="25">
        <v>10695000</v>
      </c>
    </row>
    <row r="983" spans="1:18" x14ac:dyDescent="0.2">
      <c r="A983" s="20"/>
      <c r="B983" s="20"/>
      <c r="C983" s="20"/>
      <c r="D983" s="20"/>
      <c r="E983" s="20" t="s">
        <v>485</v>
      </c>
      <c r="F983" s="31">
        <f t="shared" si="152"/>
        <v>298000</v>
      </c>
      <c r="G983" s="20"/>
      <c r="H983" s="25">
        <v>0</v>
      </c>
      <c r="I983" s="20"/>
      <c r="J983" s="25">
        <v>298000</v>
      </c>
      <c r="K983" s="20"/>
      <c r="L983" s="25">
        <v>0</v>
      </c>
      <c r="M983" s="20"/>
      <c r="N983" s="25">
        <v>49000</v>
      </c>
      <c r="O983" s="20"/>
      <c r="P983" s="25">
        <v>249000</v>
      </c>
      <c r="Q983" s="20"/>
      <c r="R983" s="25">
        <v>0</v>
      </c>
    </row>
    <row r="984" spans="1:18" x14ac:dyDescent="0.2">
      <c r="A984" s="20"/>
      <c r="B984" s="20"/>
      <c r="C984" s="20"/>
      <c r="D984" s="20"/>
      <c r="E984" s="20" t="s">
        <v>486</v>
      </c>
      <c r="F984" s="31">
        <f t="shared" si="152"/>
        <v>20388000</v>
      </c>
      <c r="G984" s="20"/>
      <c r="H984" s="25">
        <v>16937000</v>
      </c>
      <c r="I984" s="20"/>
      <c r="J984" s="25">
        <v>3451000</v>
      </c>
      <c r="K984" s="20"/>
      <c r="L984" s="25">
        <v>0</v>
      </c>
      <c r="M984" s="20"/>
      <c r="N984" s="25">
        <v>11927000</v>
      </c>
      <c r="O984" s="20"/>
      <c r="P984" s="25">
        <v>11191000</v>
      </c>
      <c r="Q984" s="20"/>
      <c r="R984" s="25">
        <v>2730000</v>
      </c>
    </row>
    <row r="985" spans="1:18" x14ac:dyDescent="0.2">
      <c r="A985" s="20"/>
      <c r="B985" s="20"/>
      <c r="C985" s="20"/>
      <c r="D985" s="20"/>
      <c r="E985" s="20" t="s">
        <v>487</v>
      </c>
      <c r="F985" s="31">
        <f t="shared" si="152"/>
        <v>717000</v>
      </c>
      <c r="G985" s="20"/>
      <c r="H985" s="25">
        <v>814000</v>
      </c>
      <c r="I985" s="20"/>
      <c r="J985" s="25">
        <v>-97000</v>
      </c>
      <c r="K985" s="20"/>
      <c r="L985" s="25">
        <v>0</v>
      </c>
      <c r="M985" s="20"/>
      <c r="N985" s="25">
        <v>414000</v>
      </c>
      <c r="O985" s="20"/>
      <c r="P985" s="25">
        <v>303000</v>
      </c>
      <c r="Q985" s="20"/>
      <c r="R985" s="25">
        <v>0</v>
      </c>
    </row>
    <row r="986" spans="1:18" x14ac:dyDescent="0.2">
      <c r="A986" s="20"/>
      <c r="B986" s="20"/>
      <c r="C986" s="20" t="s">
        <v>488</v>
      </c>
      <c r="D986" s="20"/>
      <c r="E986" s="20"/>
      <c r="F986" s="31">
        <f t="shared" si="152"/>
        <v>2695000</v>
      </c>
      <c r="G986" s="20"/>
      <c r="H986" s="25">
        <v>2427000</v>
      </c>
      <c r="I986" s="20"/>
      <c r="J986" s="25">
        <v>268000</v>
      </c>
      <c r="K986" s="20"/>
      <c r="L986" s="25">
        <v>0</v>
      </c>
      <c r="M986" s="20"/>
      <c r="N986" s="25">
        <v>1819000</v>
      </c>
      <c r="O986" s="20"/>
      <c r="P986" s="25">
        <v>1504000</v>
      </c>
      <c r="Q986" s="20"/>
      <c r="R986" s="25">
        <v>628000</v>
      </c>
    </row>
    <row r="987" spans="1:18" x14ac:dyDescent="0.2">
      <c r="A987" s="20"/>
      <c r="B987" s="20"/>
      <c r="C987" s="20" t="s">
        <v>489</v>
      </c>
      <c r="D987" s="20"/>
      <c r="E987" s="20"/>
      <c r="F987" s="31">
        <f t="shared" si="152"/>
        <v>17276000</v>
      </c>
      <c r="G987" s="20"/>
      <c r="H987" s="25">
        <v>12592000</v>
      </c>
      <c r="I987" s="20"/>
      <c r="J987" s="25">
        <v>4682000</v>
      </c>
      <c r="K987" s="20"/>
      <c r="L987" s="25">
        <v>2000</v>
      </c>
      <c r="M987" s="20"/>
      <c r="N987" s="25">
        <v>13039000</v>
      </c>
      <c r="O987" s="20"/>
      <c r="P987" s="25">
        <v>9634000</v>
      </c>
      <c r="Q987" s="20"/>
      <c r="R987" s="25">
        <v>5397000</v>
      </c>
    </row>
    <row r="988" spans="1:18" x14ac:dyDescent="0.2">
      <c r="A988" s="20"/>
      <c r="B988" s="20"/>
      <c r="C988" s="20" t="s">
        <v>234</v>
      </c>
      <c r="D988" s="20"/>
      <c r="E988" s="20"/>
      <c r="F988" s="31">
        <f t="shared" si="152"/>
        <v>-6797000</v>
      </c>
      <c r="G988" s="20"/>
      <c r="H988" s="25">
        <v>-15649000</v>
      </c>
      <c r="I988" s="20"/>
      <c r="J988" s="25">
        <v>8842000</v>
      </c>
      <c r="K988" s="20"/>
      <c r="L988" s="25">
        <v>10000</v>
      </c>
      <c r="M988" s="20"/>
      <c r="N988" s="25">
        <v>-324000</v>
      </c>
      <c r="O988" s="20"/>
      <c r="P988" s="25">
        <v>-6473000</v>
      </c>
      <c r="Q988" s="20"/>
      <c r="R988" s="25">
        <v>0</v>
      </c>
    </row>
    <row r="989" spans="1:18" x14ac:dyDescent="0.2">
      <c r="A989" s="20"/>
      <c r="B989" s="20"/>
      <c r="C989" s="20" t="s">
        <v>490</v>
      </c>
      <c r="D989" s="20"/>
      <c r="E989" s="20"/>
      <c r="F989" s="31">
        <f t="shared" si="152"/>
        <v>60000</v>
      </c>
      <c r="G989" s="20"/>
      <c r="H989" s="25">
        <v>0</v>
      </c>
      <c r="I989" s="20"/>
      <c r="J989" s="25">
        <v>60000</v>
      </c>
      <c r="K989" s="20"/>
      <c r="L989" s="25">
        <v>0</v>
      </c>
      <c r="M989" s="20"/>
      <c r="N989" s="25">
        <v>58000</v>
      </c>
      <c r="O989" s="20"/>
      <c r="P989" s="25">
        <v>103000</v>
      </c>
      <c r="Q989" s="20"/>
      <c r="R989" s="25">
        <v>101000</v>
      </c>
    </row>
    <row r="990" spans="1:18" x14ac:dyDescent="0.2">
      <c r="A990" s="20"/>
      <c r="B990" s="20"/>
      <c r="C990" s="20" t="s">
        <v>491</v>
      </c>
      <c r="D990" s="20"/>
      <c r="E990" s="20"/>
      <c r="F990" s="31">
        <f t="shared" si="152"/>
        <v>4329000</v>
      </c>
      <c r="G990" s="20"/>
      <c r="H990" s="25">
        <v>655000</v>
      </c>
      <c r="I990" s="20"/>
      <c r="J990" s="25">
        <v>3671000</v>
      </c>
      <c r="K990" s="20"/>
      <c r="L990" s="25">
        <v>3000</v>
      </c>
      <c r="M990" s="20"/>
      <c r="N990" s="25">
        <v>3544000</v>
      </c>
      <c r="O990" s="20"/>
      <c r="P990" s="25">
        <v>1589000</v>
      </c>
      <c r="Q990" s="20"/>
      <c r="R990" s="25">
        <v>804000</v>
      </c>
    </row>
    <row r="991" spans="1:18" x14ac:dyDescent="0.2">
      <c r="A991" s="20"/>
      <c r="B991" s="20"/>
      <c r="C991" s="20" t="s">
        <v>492</v>
      </c>
      <c r="D991" s="20"/>
      <c r="E991" s="20"/>
      <c r="F991" s="31">
        <f t="shared" si="152"/>
        <v>40207000</v>
      </c>
      <c r="G991" s="20"/>
      <c r="H991" s="25">
        <v>35885000</v>
      </c>
      <c r="I991" s="20"/>
      <c r="J991" s="25">
        <v>4322000</v>
      </c>
      <c r="K991" s="20"/>
      <c r="L991" s="25">
        <v>0</v>
      </c>
      <c r="M991" s="20"/>
      <c r="N991" s="25">
        <v>3963000</v>
      </c>
      <c r="O991" s="20"/>
      <c r="P991" s="25">
        <v>36822000</v>
      </c>
      <c r="Q991" s="20"/>
      <c r="R991" s="25">
        <v>578000</v>
      </c>
    </row>
    <row r="992" spans="1:18" x14ac:dyDescent="0.2">
      <c r="A992" s="20"/>
      <c r="B992" s="20"/>
      <c r="C992" s="20" t="s">
        <v>493</v>
      </c>
      <c r="D992" s="20"/>
      <c r="E992" s="20"/>
      <c r="F992" s="28">
        <f t="shared" si="152"/>
        <v>464000</v>
      </c>
      <c r="G992" s="20"/>
      <c r="H992" s="27">
        <v>308000</v>
      </c>
      <c r="I992" s="20"/>
      <c r="J992" s="27">
        <v>156000</v>
      </c>
      <c r="K992" s="20"/>
      <c r="L992" s="27">
        <v>0</v>
      </c>
      <c r="M992" s="20"/>
      <c r="N992" s="27">
        <v>443000</v>
      </c>
      <c r="O992" s="20"/>
      <c r="P992" s="27">
        <v>21000</v>
      </c>
      <c r="Q992" s="20"/>
      <c r="R992" s="27">
        <v>0</v>
      </c>
    </row>
    <row r="993" spans="1:18" x14ac:dyDescent="0.2">
      <c r="A993" s="20"/>
      <c r="B993" s="20"/>
      <c r="C993" s="20"/>
      <c r="D993" s="20"/>
      <c r="E993" s="20"/>
      <c r="F993" s="21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</row>
    <row r="994" spans="1:18" x14ac:dyDescent="0.2">
      <c r="A994" s="20"/>
      <c r="B994" s="20"/>
      <c r="C994" s="20"/>
      <c r="D994" s="20"/>
      <c r="E994" s="20" t="s">
        <v>494</v>
      </c>
      <c r="F994" s="21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</row>
    <row r="995" spans="1:18" x14ac:dyDescent="0.2">
      <c r="A995" s="20"/>
      <c r="B995" s="20"/>
      <c r="C995" s="20"/>
      <c r="D995" s="20"/>
      <c r="E995" s="20" t="s">
        <v>495</v>
      </c>
      <c r="F995" s="28">
        <f>SUM(F982:F994)</f>
        <v>85640000</v>
      </c>
      <c r="G995" s="27">
        <f t="shared" ref="G995:R995" si="153">SUM(G982:G994)</f>
        <v>0</v>
      </c>
      <c r="H995" s="27">
        <f t="shared" si="153"/>
        <v>63556000</v>
      </c>
      <c r="I995" s="27">
        <f t="shared" si="153"/>
        <v>0</v>
      </c>
      <c r="J995" s="27">
        <f t="shared" si="153"/>
        <v>21971000</v>
      </c>
      <c r="K995" s="27">
        <f t="shared" si="153"/>
        <v>0</v>
      </c>
      <c r="L995" s="27">
        <f t="shared" si="153"/>
        <v>113000</v>
      </c>
      <c r="M995" s="27">
        <f t="shared" si="153"/>
        <v>0</v>
      </c>
      <c r="N995" s="27">
        <f t="shared" si="153"/>
        <v>43831000</v>
      </c>
      <c r="O995" s="27">
        <f t="shared" si="153"/>
        <v>0</v>
      </c>
      <c r="P995" s="27">
        <f t="shared" si="153"/>
        <v>62742000</v>
      </c>
      <c r="Q995" s="27">
        <f t="shared" si="153"/>
        <v>0</v>
      </c>
      <c r="R995" s="27">
        <f t="shared" si="153"/>
        <v>20933000</v>
      </c>
    </row>
    <row r="996" spans="1:18" x14ac:dyDescent="0.2">
      <c r="A996" s="20"/>
      <c r="B996" s="20"/>
      <c r="C996" s="20"/>
      <c r="D996" s="20"/>
      <c r="E996" s="20"/>
      <c r="F996" s="21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</row>
    <row r="997" spans="1:18" x14ac:dyDescent="0.2">
      <c r="A997" s="22" t="s">
        <v>496</v>
      </c>
      <c r="B997" s="20"/>
      <c r="C997" s="20"/>
      <c r="D997" s="20"/>
      <c r="E997" s="20"/>
      <c r="F997" s="28">
        <f t="shared" ref="F997" si="154">SUM(H997:L997)</f>
        <v>399626000</v>
      </c>
      <c r="G997" s="20"/>
      <c r="H997" s="27">
        <v>109770000</v>
      </c>
      <c r="I997" s="20"/>
      <c r="J997" s="27">
        <v>136120000</v>
      </c>
      <c r="K997" s="20"/>
      <c r="L997" s="27">
        <v>153736000</v>
      </c>
      <c r="M997" s="20"/>
      <c r="N997" s="27">
        <v>0</v>
      </c>
      <c r="O997" s="20"/>
      <c r="P997" s="27">
        <v>399626000</v>
      </c>
      <c r="Q997" s="20"/>
      <c r="R997" s="27">
        <v>0</v>
      </c>
    </row>
    <row r="998" spans="1:18" x14ac:dyDescent="0.2">
      <c r="A998" s="20"/>
      <c r="B998" s="20"/>
      <c r="C998" s="20"/>
      <c r="D998" s="20"/>
      <c r="E998" s="20"/>
      <c r="F998" s="21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</row>
    <row r="999" spans="1:18" x14ac:dyDescent="0.2">
      <c r="A999" s="20"/>
      <c r="B999" s="20"/>
      <c r="C999" s="20" t="s">
        <v>497</v>
      </c>
      <c r="D999" s="20"/>
      <c r="E999" s="20"/>
      <c r="F999" s="28">
        <f t="shared" ref="F999" si="155">SUM(H999:L999)</f>
        <v>-230824000</v>
      </c>
      <c r="G999" s="20"/>
      <c r="H999" s="27">
        <v>0</v>
      </c>
      <c r="I999" s="20"/>
      <c r="J999" s="27">
        <v>-230824000</v>
      </c>
      <c r="K999" s="20"/>
      <c r="L999" s="27">
        <v>0</v>
      </c>
      <c r="M999" s="20"/>
      <c r="N999" s="27">
        <v>0</v>
      </c>
      <c r="O999" s="20"/>
      <c r="P999" s="27">
        <v>-230824000</v>
      </c>
      <c r="Q999" s="20"/>
      <c r="R999" s="27">
        <v>0</v>
      </c>
    </row>
    <row r="1000" spans="1:18" x14ac:dyDescent="0.2">
      <c r="A1000" s="20"/>
      <c r="B1000" s="20"/>
      <c r="C1000" s="20"/>
      <c r="D1000" s="20"/>
      <c r="E1000" s="20"/>
      <c r="F1000" s="21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</row>
    <row r="1001" spans="1:18" x14ac:dyDescent="0.2">
      <c r="A1001" s="20"/>
      <c r="B1001" s="20"/>
      <c r="C1001" s="20"/>
      <c r="D1001" s="20"/>
      <c r="E1001" s="20" t="s">
        <v>498</v>
      </c>
      <c r="F1001" s="28">
        <f>SUM(F997:F1000)</f>
        <v>168802000</v>
      </c>
      <c r="G1001" s="27">
        <f t="shared" ref="G1001:R1001" si="156">SUM(G997:G1000)</f>
        <v>0</v>
      </c>
      <c r="H1001" s="27">
        <f t="shared" si="156"/>
        <v>109770000</v>
      </c>
      <c r="I1001" s="27">
        <f t="shared" si="156"/>
        <v>0</v>
      </c>
      <c r="J1001" s="27">
        <f t="shared" si="156"/>
        <v>-94704000</v>
      </c>
      <c r="K1001" s="27">
        <f t="shared" si="156"/>
        <v>0</v>
      </c>
      <c r="L1001" s="27">
        <f t="shared" si="156"/>
        <v>153736000</v>
      </c>
      <c r="M1001" s="27">
        <f t="shared" si="156"/>
        <v>0</v>
      </c>
      <c r="N1001" s="27">
        <f t="shared" si="156"/>
        <v>0</v>
      </c>
      <c r="O1001" s="27">
        <f t="shared" si="156"/>
        <v>0</v>
      </c>
      <c r="P1001" s="27">
        <f t="shared" si="156"/>
        <v>168802000</v>
      </c>
      <c r="Q1001" s="27">
        <f t="shared" si="156"/>
        <v>0</v>
      </c>
      <c r="R1001" s="27">
        <f t="shared" si="156"/>
        <v>0</v>
      </c>
    </row>
    <row r="1002" spans="1:18" x14ac:dyDescent="0.2">
      <c r="A1002" s="20"/>
      <c r="B1002" s="20"/>
      <c r="C1002" s="20"/>
      <c r="D1002" s="20"/>
      <c r="E1002" s="20"/>
      <c r="F1002" s="21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</row>
    <row r="1003" spans="1:18" x14ac:dyDescent="0.2">
      <c r="A1003" s="22" t="s">
        <v>499</v>
      </c>
      <c r="B1003" s="20"/>
      <c r="C1003" s="20"/>
      <c r="D1003" s="20"/>
      <c r="E1003" s="20"/>
      <c r="F1003" s="21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</row>
    <row r="1004" spans="1:18" x14ac:dyDescent="0.2">
      <c r="A1004" s="20"/>
      <c r="B1004" s="20"/>
      <c r="C1004" s="20"/>
      <c r="D1004" s="20"/>
      <c r="E1004" s="20"/>
      <c r="F1004" s="21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</row>
    <row r="1005" spans="1:18" x14ac:dyDescent="0.2">
      <c r="A1005" s="20"/>
      <c r="B1005" s="20"/>
      <c r="C1005" s="20" t="s">
        <v>500</v>
      </c>
      <c r="D1005" s="20"/>
      <c r="E1005" s="20"/>
      <c r="F1005" s="28">
        <f t="shared" ref="F1005" si="157">SUM(H1005:L1005)</f>
        <v>12861000</v>
      </c>
      <c r="G1005" s="20"/>
      <c r="H1005" s="27">
        <v>0</v>
      </c>
      <c r="I1005" s="20"/>
      <c r="J1005" s="27">
        <v>12849000</v>
      </c>
      <c r="K1005" s="20"/>
      <c r="L1005" s="27">
        <v>12000</v>
      </c>
      <c r="M1005" s="20"/>
      <c r="N1005" s="27">
        <v>2750000</v>
      </c>
      <c r="O1005" s="20"/>
      <c r="P1005" s="27">
        <v>10113000</v>
      </c>
      <c r="Q1005" s="20"/>
      <c r="R1005" s="27">
        <v>2000</v>
      </c>
    </row>
    <row r="1006" spans="1:18" x14ac:dyDescent="0.2">
      <c r="A1006" s="20"/>
      <c r="B1006" s="20"/>
      <c r="C1006" s="20"/>
      <c r="D1006" s="20"/>
      <c r="E1006" s="20"/>
      <c r="F1006" s="21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</row>
    <row r="1007" spans="1:18" x14ac:dyDescent="0.2">
      <c r="A1007" s="20"/>
      <c r="B1007" s="20"/>
      <c r="C1007" s="20" t="s">
        <v>501</v>
      </c>
      <c r="D1007" s="20"/>
      <c r="E1007" s="20"/>
      <c r="F1007" s="28">
        <f t="shared" ref="F1007" si="158">SUM(H1007:L1007)</f>
        <v>9523000</v>
      </c>
      <c r="G1007" s="20"/>
      <c r="H1007" s="27">
        <v>0</v>
      </c>
      <c r="I1007" s="20"/>
      <c r="J1007" s="27">
        <v>9515000</v>
      </c>
      <c r="K1007" s="20"/>
      <c r="L1007" s="27">
        <v>8000</v>
      </c>
      <c r="M1007" s="20"/>
      <c r="N1007" s="27">
        <v>3884000</v>
      </c>
      <c r="O1007" s="20"/>
      <c r="P1007" s="27">
        <v>8839000</v>
      </c>
      <c r="Q1007" s="20"/>
      <c r="R1007" s="27">
        <v>3200000</v>
      </c>
    </row>
    <row r="1008" spans="1:18" x14ac:dyDescent="0.2">
      <c r="A1008" s="20"/>
      <c r="B1008" s="20"/>
      <c r="C1008" s="20"/>
      <c r="D1008" s="20"/>
      <c r="E1008" s="20"/>
      <c r="F1008" s="21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</row>
    <row r="1009" spans="1:18" x14ac:dyDescent="0.2">
      <c r="A1009" s="20"/>
      <c r="B1009" s="20"/>
      <c r="C1009" s="20" t="s">
        <v>502</v>
      </c>
      <c r="D1009" s="20"/>
      <c r="E1009" s="20"/>
      <c r="F1009" s="28">
        <f t="shared" ref="F1009" si="159">SUM(H1009:L1009)</f>
        <v>69925000</v>
      </c>
      <c r="G1009" s="20"/>
      <c r="H1009" s="27">
        <v>0</v>
      </c>
      <c r="I1009" s="20"/>
      <c r="J1009" s="27">
        <v>69522000</v>
      </c>
      <c r="K1009" s="20"/>
      <c r="L1009" s="27">
        <v>403000</v>
      </c>
      <c r="M1009" s="20"/>
      <c r="N1009" s="27">
        <v>30992000</v>
      </c>
      <c r="O1009" s="20"/>
      <c r="P1009" s="27">
        <v>42308000</v>
      </c>
      <c r="Q1009" s="20"/>
      <c r="R1009" s="27">
        <v>3375000</v>
      </c>
    </row>
    <row r="1010" spans="1:18" x14ac:dyDescent="0.2">
      <c r="A1010" s="20"/>
      <c r="B1010" s="20"/>
      <c r="C1010" s="20"/>
      <c r="D1010" s="20"/>
      <c r="E1010" s="20" t="s">
        <v>22</v>
      </c>
      <c r="F1010" s="21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</row>
    <row r="1011" spans="1:18" x14ac:dyDescent="0.2">
      <c r="A1011" s="20"/>
      <c r="B1011" s="20" t="s">
        <v>503</v>
      </c>
      <c r="C1011" s="20"/>
      <c r="D1011" s="20"/>
      <c r="E1011" s="20"/>
      <c r="F1011" s="28">
        <f t="shared" ref="F1011" si="160">SUM(H1011:L1011)</f>
        <v>26006000</v>
      </c>
      <c r="G1011" s="20"/>
      <c r="H1011" s="27">
        <v>-1000</v>
      </c>
      <c r="I1011" s="20"/>
      <c r="J1011" s="27">
        <v>23611000</v>
      </c>
      <c r="K1011" s="20"/>
      <c r="L1011" s="27">
        <v>2396000</v>
      </c>
      <c r="M1011" s="20"/>
      <c r="N1011" s="27">
        <v>9376000</v>
      </c>
      <c r="O1011" s="20"/>
      <c r="P1011" s="27">
        <v>16638000</v>
      </c>
      <c r="Q1011" s="20"/>
      <c r="R1011" s="27">
        <v>8000</v>
      </c>
    </row>
    <row r="1012" spans="1:18" x14ac:dyDescent="0.2">
      <c r="A1012" s="20"/>
      <c r="B1012" s="20"/>
      <c r="C1012" s="20"/>
      <c r="D1012" s="20"/>
      <c r="E1012" s="20"/>
      <c r="F1012" s="21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</row>
    <row r="1013" spans="1:18" x14ac:dyDescent="0.2">
      <c r="A1013" s="20"/>
      <c r="B1013" s="20" t="s">
        <v>504</v>
      </c>
      <c r="C1013" s="20"/>
      <c r="D1013" s="20"/>
      <c r="E1013" s="20"/>
      <c r="F1013" s="28">
        <f t="shared" ref="F1013" si="161">SUM(H1013:L1013)</f>
        <v>4425000</v>
      </c>
      <c r="G1013" s="20"/>
      <c r="H1013" s="27">
        <v>0</v>
      </c>
      <c r="I1013" s="20"/>
      <c r="J1013" s="27">
        <v>4425000</v>
      </c>
      <c r="K1013" s="20"/>
      <c r="L1013" s="27">
        <v>0</v>
      </c>
      <c r="M1013" s="20"/>
      <c r="N1013" s="27">
        <v>2425000</v>
      </c>
      <c r="O1013" s="20"/>
      <c r="P1013" s="27">
        <v>4368000</v>
      </c>
      <c r="Q1013" s="20"/>
      <c r="R1013" s="27">
        <v>2368000</v>
      </c>
    </row>
    <row r="1014" spans="1:18" x14ac:dyDescent="0.2">
      <c r="A1014" s="20"/>
      <c r="B1014" s="20"/>
      <c r="C1014" s="20"/>
      <c r="D1014" s="20"/>
      <c r="E1014" s="20"/>
      <c r="F1014" s="21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</row>
    <row r="1015" spans="1:18" x14ac:dyDescent="0.2">
      <c r="A1015" s="20"/>
      <c r="B1015" s="20" t="s">
        <v>456</v>
      </c>
      <c r="C1015" s="20"/>
      <c r="D1015" s="20"/>
      <c r="E1015" s="20"/>
      <c r="F1015" s="28">
        <f t="shared" ref="F1015" si="162">SUM(H1015:L1015)</f>
        <v>12746000</v>
      </c>
      <c r="G1015" s="20"/>
      <c r="H1015" s="27">
        <v>1848000</v>
      </c>
      <c r="I1015" s="20"/>
      <c r="J1015" s="27">
        <v>10908000</v>
      </c>
      <c r="K1015" s="20"/>
      <c r="L1015" s="27">
        <v>-10000</v>
      </c>
      <c r="M1015" s="20"/>
      <c r="N1015" s="27">
        <v>4616000</v>
      </c>
      <c r="O1015" s="20"/>
      <c r="P1015" s="27">
        <v>9552000</v>
      </c>
      <c r="Q1015" s="20"/>
      <c r="R1015" s="27">
        <v>1422000</v>
      </c>
    </row>
    <row r="1016" spans="1:18" x14ac:dyDescent="0.2">
      <c r="A1016" s="20"/>
      <c r="B1016" s="20"/>
      <c r="C1016" s="20"/>
      <c r="D1016" s="20"/>
      <c r="E1016" s="20"/>
      <c r="F1016" s="21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</row>
    <row r="1017" spans="1:18" x14ac:dyDescent="0.2">
      <c r="A1017" s="20"/>
      <c r="B1017" s="20" t="s">
        <v>399</v>
      </c>
      <c r="C1017" s="20"/>
      <c r="D1017" s="20"/>
      <c r="E1017" s="20"/>
      <c r="F1017" s="21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</row>
    <row r="1018" spans="1:18" x14ac:dyDescent="0.2">
      <c r="A1018" s="20"/>
      <c r="B1018" s="20"/>
      <c r="C1018" s="20" t="s">
        <v>400</v>
      </c>
      <c r="D1018" s="20"/>
      <c r="E1018" s="20"/>
      <c r="F1018" s="28">
        <f t="shared" ref="F1018" si="163">SUM(H1018:L1018)</f>
        <v>114000</v>
      </c>
      <c r="G1018" s="20"/>
      <c r="H1018" s="27">
        <v>0</v>
      </c>
      <c r="I1018" s="20"/>
      <c r="J1018" s="27">
        <v>110000</v>
      </c>
      <c r="K1018" s="20"/>
      <c r="L1018" s="27">
        <v>4000</v>
      </c>
      <c r="M1018" s="20"/>
      <c r="N1018" s="27">
        <v>112000</v>
      </c>
      <c r="O1018" s="20"/>
      <c r="P1018" s="27">
        <v>2000</v>
      </c>
      <c r="Q1018" s="20"/>
      <c r="R1018" s="27">
        <v>0</v>
      </c>
    </row>
    <row r="1019" spans="1:18" x14ac:dyDescent="0.2">
      <c r="A1019" s="20"/>
      <c r="B1019" s="20"/>
      <c r="C1019" s="20"/>
      <c r="D1019" s="20"/>
      <c r="E1019" s="20"/>
      <c r="F1019" s="21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</row>
    <row r="1020" spans="1:18" x14ac:dyDescent="0.2">
      <c r="A1020" s="20"/>
      <c r="B1020" s="20"/>
      <c r="C1020" s="20"/>
      <c r="D1020" s="20"/>
      <c r="E1020" s="20" t="s">
        <v>505</v>
      </c>
      <c r="F1020" s="28">
        <f>F1005+F1007+F1009+F1011+F1013+F1015+F1018</f>
        <v>135600000</v>
      </c>
      <c r="G1020" s="27">
        <f t="shared" ref="G1020:R1020" si="164">G1005+G1007+G1009+G1011+G1013+G1015+G1018</f>
        <v>0</v>
      </c>
      <c r="H1020" s="27">
        <f t="shared" si="164"/>
        <v>1847000</v>
      </c>
      <c r="I1020" s="27">
        <f t="shared" si="164"/>
        <v>0</v>
      </c>
      <c r="J1020" s="27">
        <f t="shared" si="164"/>
        <v>130940000</v>
      </c>
      <c r="K1020" s="27">
        <f t="shared" si="164"/>
        <v>0</v>
      </c>
      <c r="L1020" s="27">
        <f t="shared" si="164"/>
        <v>2813000</v>
      </c>
      <c r="M1020" s="27">
        <f t="shared" si="164"/>
        <v>0</v>
      </c>
      <c r="N1020" s="27">
        <f t="shared" si="164"/>
        <v>54155000</v>
      </c>
      <c r="O1020" s="27">
        <f t="shared" si="164"/>
        <v>0</v>
      </c>
      <c r="P1020" s="27">
        <f t="shared" si="164"/>
        <v>91820000</v>
      </c>
      <c r="Q1020" s="27">
        <f t="shared" si="164"/>
        <v>0</v>
      </c>
      <c r="R1020" s="27">
        <f t="shared" si="164"/>
        <v>10375000</v>
      </c>
    </row>
    <row r="1021" spans="1:18" x14ac:dyDescent="0.2">
      <c r="A1021" s="20"/>
      <c r="B1021" s="20"/>
      <c r="C1021" s="20"/>
      <c r="D1021" s="20"/>
      <c r="E1021" s="20"/>
      <c r="F1021" s="21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</row>
    <row r="1022" spans="1:18" x14ac:dyDescent="0.2">
      <c r="A1022" s="20"/>
      <c r="B1022" s="20"/>
      <c r="C1022" s="20"/>
      <c r="D1022" s="20"/>
      <c r="E1022" s="20"/>
      <c r="F1022" s="21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</row>
    <row r="1023" spans="1:18" x14ac:dyDescent="0.2">
      <c r="A1023" s="20"/>
      <c r="B1023" s="20"/>
      <c r="C1023" s="20"/>
      <c r="D1023" s="20"/>
      <c r="E1023" s="20" t="s">
        <v>506</v>
      </c>
      <c r="F1023" s="28">
        <f>F41+F55+F77+F89+F146+F172+F186+F198+F378+F390+F431+F443+F455+F469+F481+F522+F532+F536+F540+F758+F849+F977+F995+F1001+F1020</f>
        <v>2509375750</v>
      </c>
      <c r="G1023" s="27">
        <f t="shared" ref="G1023:R1023" si="165">G41+G55+G77+G89+G146+G172+G186+G198+G378+G390+G431+G443+G455+G469+G481+G522+G532+G536+G540+G758+G849+G977+G995+G1001+G1020</f>
        <v>0</v>
      </c>
      <c r="H1023" s="27">
        <f t="shared" si="165"/>
        <v>634874750</v>
      </c>
      <c r="I1023" s="27">
        <f t="shared" si="165"/>
        <v>0</v>
      </c>
      <c r="J1023" s="27">
        <f t="shared" si="165"/>
        <v>983924000</v>
      </c>
      <c r="K1023" s="27">
        <f t="shared" si="165"/>
        <v>0</v>
      </c>
      <c r="L1023" s="27">
        <f t="shared" si="165"/>
        <v>890577000</v>
      </c>
      <c r="M1023" s="27">
        <f t="shared" si="165"/>
        <v>0</v>
      </c>
      <c r="N1023" s="27">
        <f t="shared" si="165"/>
        <v>1265478250</v>
      </c>
      <c r="O1023" s="27">
        <f t="shared" si="165"/>
        <v>0</v>
      </c>
      <c r="P1023" s="27">
        <f t="shared" si="165"/>
        <v>1366474500</v>
      </c>
      <c r="Q1023" s="27">
        <f t="shared" si="165"/>
        <v>0</v>
      </c>
      <c r="R1023" s="27">
        <f t="shared" si="165"/>
        <v>122577000</v>
      </c>
    </row>
    <row r="1024" spans="1:18" x14ac:dyDescent="0.2">
      <c r="A1024" s="20"/>
      <c r="B1024" s="20"/>
      <c r="C1024" s="20"/>
      <c r="D1024" s="20"/>
      <c r="E1024" s="20"/>
      <c r="F1024" s="21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</row>
    <row r="1025" spans="1:18" x14ac:dyDescent="0.2">
      <c r="A1025" s="20"/>
      <c r="B1025" s="20"/>
      <c r="C1025" s="20"/>
      <c r="D1025" s="20" t="s">
        <v>507</v>
      </c>
      <c r="E1025" s="20"/>
      <c r="F1025" s="28">
        <f t="shared" ref="F1025:F1027" si="166">SUM(H1025:L1025)</f>
        <v>-67851000</v>
      </c>
      <c r="G1025" s="20"/>
      <c r="H1025" s="27">
        <v>-18749000</v>
      </c>
      <c r="I1025" s="20"/>
      <c r="J1025" s="27">
        <v>-14975000</v>
      </c>
      <c r="K1025" s="20"/>
      <c r="L1025" s="27">
        <v>-34127000</v>
      </c>
      <c r="M1025" s="20"/>
      <c r="N1025" s="27">
        <v>-10175000</v>
      </c>
      <c r="O1025" s="20"/>
      <c r="P1025" s="27">
        <v>-57676000</v>
      </c>
      <c r="Q1025" s="20"/>
      <c r="R1025" s="27">
        <v>0</v>
      </c>
    </row>
    <row r="1026" spans="1:18" x14ac:dyDescent="0.2">
      <c r="A1026" s="20"/>
      <c r="B1026" s="20"/>
      <c r="C1026" s="20"/>
      <c r="D1026" s="20"/>
      <c r="E1026" s="20"/>
      <c r="F1026" s="21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</row>
    <row r="1027" spans="1:18" x14ac:dyDescent="0.2">
      <c r="A1027" s="20"/>
      <c r="B1027" s="20" t="s">
        <v>509</v>
      </c>
      <c r="C1027" s="20"/>
      <c r="D1027" s="20"/>
      <c r="E1027" s="20"/>
      <c r="F1027" s="28">
        <f t="shared" si="166"/>
        <v>2622000</v>
      </c>
      <c r="G1027" s="20"/>
      <c r="H1027" s="27">
        <v>2622000</v>
      </c>
      <c r="I1027" s="20"/>
      <c r="J1027" s="27">
        <v>0</v>
      </c>
      <c r="K1027" s="20"/>
      <c r="L1027" s="27">
        <v>0</v>
      </c>
      <c r="M1027" s="20"/>
      <c r="N1027" s="27">
        <v>0</v>
      </c>
      <c r="O1027" s="20"/>
      <c r="P1027" s="27">
        <v>2622000</v>
      </c>
      <c r="Q1027" s="20"/>
      <c r="R1027" s="27">
        <v>0</v>
      </c>
    </row>
    <row r="1028" spans="1:18" x14ac:dyDescent="0.2">
      <c r="A1028" s="20"/>
      <c r="B1028" s="20"/>
      <c r="C1028" s="20"/>
      <c r="D1028" s="20"/>
      <c r="E1028" s="20"/>
      <c r="F1028" s="21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</row>
    <row r="1029" spans="1:18" ht="16" thickBot="1" x14ac:dyDescent="0.25">
      <c r="A1029" s="20"/>
      <c r="B1029" s="20"/>
      <c r="C1029" s="20"/>
      <c r="D1029" s="20"/>
      <c r="E1029" s="33" t="s">
        <v>508</v>
      </c>
      <c r="F1029" s="34">
        <f>F1023+F1025+F1027</f>
        <v>2444146750</v>
      </c>
      <c r="G1029" s="34">
        <f t="shared" ref="G1029:R1029" si="167">G1023+G1025+G1027</f>
        <v>0</v>
      </c>
      <c r="H1029" s="34">
        <f t="shared" si="167"/>
        <v>618747750</v>
      </c>
      <c r="I1029" s="34">
        <f t="shared" si="167"/>
        <v>0</v>
      </c>
      <c r="J1029" s="34">
        <f t="shared" si="167"/>
        <v>968949000</v>
      </c>
      <c r="K1029" s="34">
        <f t="shared" si="167"/>
        <v>0</v>
      </c>
      <c r="L1029" s="34">
        <f t="shared" si="167"/>
        <v>856450000</v>
      </c>
      <c r="M1029" s="34">
        <f t="shared" si="167"/>
        <v>0</v>
      </c>
      <c r="N1029" s="34">
        <f t="shared" si="167"/>
        <v>1255303250</v>
      </c>
      <c r="O1029" s="34">
        <f t="shared" si="167"/>
        <v>0</v>
      </c>
      <c r="P1029" s="34">
        <f t="shared" si="167"/>
        <v>1311420500</v>
      </c>
      <c r="Q1029" s="34">
        <f t="shared" si="167"/>
        <v>0</v>
      </c>
      <c r="R1029" s="34">
        <f t="shared" si="167"/>
        <v>122577000</v>
      </c>
    </row>
    <row r="1030" spans="1:18" ht="16" thickTop="1" x14ac:dyDescent="0.2"/>
  </sheetData>
  <mergeCells count="2">
    <mergeCell ref="H1:L1"/>
    <mergeCell ref="N1:R1"/>
  </mergeCells>
  <pageMargins left="0.25" right="0.25" top="1" bottom="1" header="0.5" footer="0.25"/>
  <pageSetup scale="71" fitToHeight="0" orientation="portrait" r:id="rId1"/>
  <headerFooter>
    <oddHeader>&amp;L&amp;"Times New Roman,Regular"
(Dollars in Thousands)&amp;C&amp;"Times New Roman,Regular"Berkeley
CURRENT FUNDS EXPENDITURES BY DEPARTMENT&amp;R&amp;"Times New Roman,Regular"
 2017-18 Schedule C</oddHeader>
    <oddFooter>&amp;C&amp;P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BB45928E093C46952908CE0509D88E" ma:contentTypeVersion="0" ma:contentTypeDescription="Create a new document." ma:contentTypeScope="" ma:versionID="045cb9a6c077643e908d5a56386c2a9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0B1A3D-2223-4BB8-A932-B361DE6F4E2D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A99FB691-5EDA-48FA-814F-990B544D01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A8C774-9EAB-46D8-834D-3A813AC862A4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7DE55C5C-C0B1-42B7-96A6-4B1134A1D6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BK14SchC</vt:lpstr>
      <vt:lpstr>BK15SchC</vt:lpstr>
      <vt:lpstr>BK16SchC</vt:lpstr>
      <vt:lpstr>BK17SchC</vt:lpstr>
      <vt:lpstr>BK18SchC</vt:lpstr>
      <vt:lpstr>BK14SchC!Print_Area</vt:lpstr>
      <vt:lpstr>BK15SchC!Print_Area</vt:lpstr>
      <vt:lpstr>BK14SchC!Print_Titles</vt:lpstr>
      <vt:lpstr>BK15SchC!Print_Titles</vt:lpstr>
      <vt:lpstr>BK16SchC!Print_Titles</vt:lpstr>
      <vt:lpstr>BK18SchC!Print_Titles</vt:lpstr>
    </vt:vector>
  </TitlesOfParts>
  <Company>UC Berkeley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EEI</dc:creator>
  <cp:lastModifiedBy>Duncan Callaway</cp:lastModifiedBy>
  <cp:lastPrinted>2018-09-11T18:33:54Z</cp:lastPrinted>
  <dcterms:created xsi:type="dcterms:W3CDTF">2017-10-03T15:50:10Z</dcterms:created>
  <dcterms:modified xsi:type="dcterms:W3CDTF">2019-03-08T23:38:22Z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0x01010003BB45928E093C46952908CE0509D88E</vt:lpwstr>
  </property>
</Properties>
</file>