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aveExternalLinkValues="0" defaultThemeVersion="124226"/>
  <bookViews>
    <workbookView xWindow="-15" yWindow="-15" windowWidth="14400" windowHeight="12855"/>
  </bookViews>
  <sheets>
    <sheet name="SB" sheetId="1" r:id="rId1"/>
  </sheets>
  <definedNames>
    <definedName name="_xlnm.Print_Area" localSheetId="0">SB!$A$1:$Q$453</definedName>
    <definedName name="_xlnm.Print_Titles" localSheetId="0">SB!$1:$4</definedName>
  </definedNames>
  <calcPr calcId="145621"/>
</workbook>
</file>

<file path=xl/calcChain.xml><?xml version="1.0" encoding="utf-8"?>
<calcChain xmlns="http://schemas.openxmlformats.org/spreadsheetml/2006/main">
  <c r="O433" i="1" l="1"/>
  <c r="I433" i="1"/>
  <c r="E433" i="1" s="1"/>
  <c r="S433" i="1" l="1"/>
  <c r="R433" i="1"/>
  <c r="O267" i="1" l="1"/>
  <c r="O254" i="1"/>
  <c r="O115" i="1"/>
  <c r="E413" i="1" l="1"/>
  <c r="S413" i="1" s="1"/>
  <c r="Q422" i="1"/>
  <c r="O422" i="1"/>
  <c r="M422" i="1"/>
  <c r="K422" i="1"/>
  <c r="I422" i="1"/>
  <c r="G422" i="1"/>
  <c r="E419" i="1"/>
  <c r="S419" i="1" s="1"/>
  <c r="O320" i="1"/>
  <c r="I320" i="1"/>
  <c r="E240" i="1"/>
  <c r="S240" i="1" s="1"/>
  <c r="Q51" i="1"/>
  <c r="O51" i="1"/>
  <c r="M51" i="1"/>
  <c r="K51" i="1"/>
  <c r="I51" i="1"/>
  <c r="G51" i="1"/>
  <c r="R413" i="1" l="1"/>
  <c r="R419" i="1"/>
  <c r="R240" i="1"/>
  <c r="E420" i="1"/>
  <c r="S420" i="1" s="1"/>
  <c r="E444" i="1" l="1"/>
  <c r="E422" i="1"/>
  <c r="R420" i="1"/>
  <c r="E427" i="1"/>
  <c r="E393" i="1" l="1"/>
  <c r="S393" i="1" s="1"/>
  <c r="Q400" i="1"/>
  <c r="E400" i="1"/>
  <c r="E394" i="1"/>
  <c r="S394" i="1" s="1"/>
  <c r="Q376" i="1"/>
  <c r="O376" i="1"/>
  <c r="M376" i="1"/>
  <c r="I376" i="1"/>
  <c r="G376" i="1"/>
  <c r="O350" i="1"/>
  <c r="I350" i="1"/>
  <c r="R393" i="1" l="1"/>
  <c r="S400" i="1"/>
  <c r="R400" i="1"/>
  <c r="R394" i="1"/>
  <c r="Q312" i="1"/>
  <c r="O312" i="1"/>
  <c r="I312" i="1"/>
  <c r="E242" i="1" l="1"/>
  <c r="S242" i="1" s="1"/>
  <c r="R242" i="1" l="1"/>
  <c r="Q161" i="1"/>
  <c r="O161" i="1"/>
  <c r="M161" i="1"/>
  <c r="K161" i="1"/>
  <c r="I161" i="1"/>
  <c r="G161" i="1"/>
  <c r="E157" i="1"/>
  <c r="S157" i="1" s="1"/>
  <c r="E158" i="1"/>
  <c r="S158" i="1" s="1"/>
  <c r="E155" i="1"/>
  <c r="S155" i="1" s="1"/>
  <c r="E144" i="1"/>
  <c r="S144" i="1" s="1"/>
  <c r="E143" i="1"/>
  <c r="S143" i="1" s="1"/>
  <c r="R158" i="1" l="1"/>
  <c r="R157" i="1"/>
  <c r="R155" i="1"/>
  <c r="R144" i="1"/>
  <c r="R143" i="1"/>
  <c r="S389" i="1"/>
  <c r="S369" i="1"/>
  <c r="S367" i="1"/>
  <c r="S365" i="1"/>
  <c r="S346" i="1"/>
  <c r="S321" i="1"/>
  <c r="S263" i="1"/>
  <c r="S236" i="1"/>
  <c r="S234" i="1"/>
  <c r="S219" i="1"/>
  <c r="S138" i="1"/>
  <c r="E7" i="1"/>
  <c r="S7" i="1" s="1"/>
  <c r="E440" i="1"/>
  <c r="E382" i="1"/>
  <c r="R382" i="1" s="1"/>
  <c r="E397" i="1"/>
  <c r="R397" i="1" s="1"/>
  <c r="E9" i="1"/>
  <c r="S9" i="1" s="1"/>
  <c r="E12" i="1"/>
  <c r="S12" i="1" s="1"/>
  <c r="G22" i="1"/>
  <c r="G30" i="1" s="1"/>
  <c r="I22" i="1"/>
  <c r="K22" i="1"/>
  <c r="E24" i="1"/>
  <c r="S24" i="1" s="1"/>
  <c r="E27" i="1"/>
  <c r="S27" i="1" s="1"/>
  <c r="G64" i="1"/>
  <c r="I64" i="1"/>
  <c r="K64" i="1"/>
  <c r="G58" i="1"/>
  <c r="I58" i="1"/>
  <c r="K58" i="1"/>
  <c r="G43" i="1"/>
  <c r="I43" i="1"/>
  <c r="K43" i="1"/>
  <c r="Q436" i="1"/>
  <c r="Q325" i="1"/>
  <c r="Q410" i="1"/>
  <c r="Q359" i="1"/>
  <c r="Q226" i="1"/>
  <c r="Q254" i="1"/>
  <c r="Q267" i="1"/>
  <c r="Q286" i="1"/>
  <c r="Q298" i="1"/>
  <c r="Q210" i="1"/>
  <c r="Q177" i="1"/>
  <c r="Q115" i="1"/>
  <c r="Q64" i="1"/>
  <c r="Q58" i="1"/>
  <c r="Q43" i="1"/>
  <c r="Q22" i="1"/>
  <c r="Q30" i="1" s="1"/>
  <c r="Q14" i="1"/>
  <c r="Q195" i="1"/>
  <c r="O436" i="1"/>
  <c r="O325" i="1"/>
  <c r="O410" i="1"/>
  <c r="O359" i="1"/>
  <c r="O226" i="1"/>
  <c r="O286" i="1"/>
  <c r="O298" i="1"/>
  <c r="O210" i="1"/>
  <c r="O177" i="1"/>
  <c r="O180" i="1" s="1"/>
  <c r="O64" i="1"/>
  <c r="O58" i="1"/>
  <c r="O43" i="1"/>
  <c r="O22" i="1"/>
  <c r="O14" i="1"/>
  <c r="O195" i="1"/>
  <c r="M436" i="1"/>
  <c r="M325" i="1"/>
  <c r="M410" i="1"/>
  <c r="M359" i="1"/>
  <c r="M226" i="1"/>
  <c r="M254" i="1"/>
  <c r="M267" i="1"/>
  <c r="M286" i="1"/>
  <c r="M298" i="1"/>
  <c r="M210" i="1"/>
  <c r="M177" i="1"/>
  <c r="M115" i="1"/>
  <c r="M64" i="1"/>
  <c r="M58" i="1"/>
  <c r="M43" i="1"/>
  <c r="M22" i="1"/>
  <c r="M30" i="1" s="1"/>
  <c r="M14" i="1"/>
  <c r="M195" i="1"/>
  <c r="K436" i="1"/>
  <c r="K325" i="1"/>
  <c r="E376" i="1"/>
  <c r="R376" i="1" s="1"/>
  <c r="K359" i="1"/>
  <c r="K226" i="1"/>
  <c r="K254" i="1"/>
  <c r="K267" i="1"/>
  <c r="K286" i="1"/>
  <c r="K298" i="1"/>
  <c r="K210" i="1"/>
  <c r="K177" i="1"/>
  <c r="K115" i="1"/>
  <c r="K14" i="1"/>
  <c r="K195" i="1"/>
  <c r="I436" i="1"/>
  <c r="E319" i="1"/>
  <c r="R319" i="1" s="1"/>
  <c r="I410" i="1"/>
  <c r="I359" i="1"/>
  <c r="I226" i="1"/>
  <c r="I254" i="1"/>
  <c r="E260" i="1"/>
  <c r="R260" i="1" s="1"/>
  <c r="I286" i="1"/>
  <c r="I298" i="1"/>
  <c r="I210" i="1"/>
  <c r="I177" i="1"/>
  <c r="I115" i="1"/>
  <c r="I14" i="1"/>
  <c r="I195" i="1"/>
  <c r="G436" i="1"/>
  <c r="G325" i="1"/>
  <c r="G410" i="1"/>
  <c r="G359" i="1"/>
  <c r="G226" i="1"/>
  <c r="G254" i="1"/>
  <c r="G267" i="1"/>
  <c r="G286" i="1"/>
  <c r="G298" i="1"/>
  <c r="G210" i="1"/>
  <c r="G177" i="1"/>
  <c r="G115" i="1"/>
  <c r="E161" i="1"/>
  <c r="S161" i="1" s="1"/>
  <c r="G14" i="1"/>
  <c r="G195" i="1"/>
  <c r="E442" i="1"/>
  <c r="R442" i="1" s="1"/>
  <c r="E311" i="1"/>
  <c r="S311" i="1" s="1"/>
  <c r="E312" i="1"/>
  <c r="R312" i="1" s="1"/>
  <c r="E313" i="1"/>
  <c r="S313" i="1" s="1"/>
  <c r="E314" i="1"/>
  <c r="S314" i="1" s="1"/>
  <c r="E315" i="1"/>
  <c r="R315" i="1" s="1"/>
  <c r="E316" i="1"/>
  <c r="S316" i="1" s="1"/>
  <c r="E317" i="1"/>
  <c r="S317" i="1" s="1"/>
  <c r="E318" i="1"/>
  <c r="S318" i="1" s="1"/>
  <c r="E320" i="1"/>
  <c r="S320" i="1" s="1"/>
  <c r="E322" i="1"/>
  <c r="S322" i="1" s="1"/>
  <c r="E363" i="1"/>
  <c r="S363" i="1" s="1"/>
  <c r="E364" i="1"/>
  <c r="R364" i="1" s="1"/>
  <c r="E366" i="1"/>
  <c r="R366" i="1" s="1"/>
  <c r="E368" i="1"/>
  <c r="R368" i="1" s="1"/>
  <c r="E370" i="1"/>
  <c r="R370" i="1" s="1"/>
  <c r="E371" i="1"/>
  <c r="R371" i="1" s="1"/>
  <c r="E372" i="1"/>
  <c r="S372" i="1" s="1"/>
  <c r="E373" i="1"/>
  <c r="S373" i="1" s="1"/>
  <c r="E374" i="1"/>
  <c r="S374" i="1" s="1"/>
  <c r="E375" i="1"/>
  <c r="R375" i="1" s="1"/>
  <c r="E377" i="1"/>
  <c r="S377" i="1" s="1"/>
  <c r="E378" i="1"/>
  <c r="S378" i="1" s="1"/>
  <c r="E379" i="1"/>
  <c r="R379" i="1" s="1"/>
  <c r="E380" i="1"/>
  <c r="S380" i="1" s="1"/>
  <c r="E381" i="1"/>
  <c r="S381" i="1" s="1"/>
  <c r="E383" i="1"/>
  <c r="S383" i="1" s="1"/>
  <c r="E384" i="1"/>
  <c r="R384" i="1" s="1"/>
  <c r="E385" i="1"/>
  <c r="S385" i="1" s="1"/>
  <c r="E386" i="1"/>
  <c r="S386" i="1" s="1"/>
  <c r="E387" i="1"/>
  <c r="S387" i="1" s="1"/>
  <c r="E388" i="1"/>
  <c r="R388" i="1" s="1"/>
  <c r="E390" i="1"/>
  <c r="S390" i="1" s="1"/>
  <c r="E391" i="1"/>
  <c r="S391" i="1" s="1"/>
  <c r="E392" i="1"/>
  <c r="S392" i="1" s="1"/>
  <c r="E395" i="1"/>
  <c r="S395" i="1" s="1"/>
  <c r="E396" i="1"/>
  <c r="S396" i="1" s="1"/>
  <c r="E398" i="1"/>
  <c r="S398" i="1" s="1"/>
  <c r="E399" i="1"/>
  <c r="R399" i="1" s="1"/>
  <c r="E401" i="1"/>
  <c r="S401" i="1" s="1"/>
  <c r="E402" i="1"/>
  <c r="S402" i="1" s="1"/>
  <c r="E403" i="1"/>
  <c r="S403" i="1" s="1"/>
  <c r="E404" i="1"/>
  <c r="R404" i="1" s="1"/>
  <c r="E405" i="1"/>
  <c r="S405" i="1" s="1"/>
  <c r="E406" i="1"/>
  <c r="S406" i="1" s="1"/>
  <c r="E407" i="1"/>
  <c r="S407" i="1" s="1"/>
  <c r="E408" i="1"/>
  <c r="R408" i="1" s="1"/>
  <c r="E329" i="1"/>
  <c r="S329" i="1" s="1"/>
  <c r="E330" i="1"/>
  <c r="R330" i="1" s="1"/>
  <c r="E331" i="1"/>
  <c r="S331" i="1" s="1"/>
  <c r="E332" i="1"/>
  <c r="S332" i="1" s="1"/>
  <c r="E333" i="1"/>
  <c r="R333" i="1" s="1"/>
  <c r="E334" i="1"/>
  <c r="S334" i="1" s="1"/>
  <c r="E335" i="1"/>
  <c r="S335" i="1" s="1"/>
  <c r="E336" i="1"/>
  <c r="S336" i="1" s="1"/>
  <c r="E337" i="1"/>
  <c r="R337" i="1" s="1"/>
  <c r="E338" i="1"/>
  <c r="S338" i="1" s="1"/>
  <c r="E339" i="1"/>
  <c r="S339" i="1" s="1"/>
  <c r="E340" i="1"/>
  <c r="S340" i="1" s="1"/>
  <c r="E341" i="1"/>
  <c r="S341" i="1" s="1"/>
  <c r="E342" i="1"/>
  <c r="S342" i="1" s="1"/>
  <c r="E343" i="1"/>
  <c r="S343" i="1" s="1"/>
  <c r="E344" i="1"/>
  <c r="R344" i="1" s="1"/>
  <c r="E345" i="1"/>
  <c r="S345" i="1" s="1"/>
  <c r="E347" i="1"/>
  <c r="R347" i="1" s="1"/>
  <c r="E348" i="1"/>
  <c r="S348" i="1" s="1"/>
  <c r="E349" i="1"/>
  <c r="R349" i="1" s="1"/>
  <c r="E350" i="1"/>
  <c r="S350" i="1" s="1"/>
  <c r="E351" i="1"/>
  <c r="S351" i="1" s="1"/>
  <c r="E352" i="1"/>
  <c r="R352" i="1" s="1"/>
  <c r="E353" i="1"/>
  <c r="R353" i="1" s="1"/>
  <c r="E354" i="1"/>
  <c r="S354" i="1" s="1"/>
  <c r="E355" i="1"/>
  <c r="S355" i="1" s="1"/>
  <c r="E356" i="1"/>
  <c r="S356" i="1" s="1"/>
  <c r="E357" i="1"/>
  <c r="S357" i="1" s="1"/>
  <c r="E294" i="1"/>
  <c r="S294" i="1" s="1"/>
  <c r="E295" i="1"/>
  <c r="S295" i="1" s="1"/>
  <c r="E296" i="1"/>
  <c r="R296" i="1" s="1"/>
  <c r="E306" i="1"/>
  <c r="S306" i="1" s="1"/>
  <c r="E198" i="1"/>
  <c r="R198" i="1" s="1"/>
  <c r="E183" i="1"/>
  <c r="S183" i="1" s="1"/>
  <c r="E202" i="1"/>
  <c r="R202" i="1" s="1"/>
  <c r="E302" i="1"/>
  <c r="R302" i="1" s="1"/>
  <c r="E112" i="1"/>
  <c r="S112" i="1" s="1"/>
  <c r="E233" i="1"/>
  <c r="R233" i="1" s="1"/>
  <c r="E249" i="1"/>
  <c r="R249" i="1" s="1"/>
  <c r="E247" i="1"/>
  <c r="R247" i="1" s="1"/>
  <c r="E246" i="1"/>
  <c r="R246" i="1" s="1"/>
  <c r="E239" i="1"/>
  <c r="R239" i="1" s="1"/>
  <c r="E232" i="1"/>
  <c r="S232" i="1" s="1"/>
  <c r="E274" i="1"/>
  <c r="R274" i="1" s="1"/>
  <c r="E276" i="1"/>
  <c r="R276" i="1" s="1"/>
  <c r="E216" i="1"/>
  <c r="R216" i="1" s="1"/>
  <c r="E261" i="1"/>
  <c r="R261" i="1" s="1"/>
  <c r="E164" i="1"/>
  <c r="S164" i="1" s="1"/>
  <c r="E147" i="1"/>
  <c r="R147" i="1" s="1"/>
  <c r="E99" i="1"/>
  <c r="R99" i="1" s="1"/>
  <c r="E50" i="1"/>
  <c r="R50" i="1" s="1"/>
  <c r="S281" i="1"/>
  <c r="E425" i="1"/>
  <c r="S425" i="1" s="1"/>
  <c r="E265" i="1"/>
  <c r="R265" i="1" s="1"/>
  <c r="E175" i="1"/>
  <c r="S175" i="1" s="1"/>
  <c r="E39" i="1"/>
  <c r="R39" i="1" s="1"/>
  <c r="E19" i="1"/>
  <c r="R19" i="1" s="1"/>
  <c r="E434" i="1"/>
  <c r="S434" i="1" s="1"/>
  <c r="E284" i="1"/>
  <c r="S284" i="1" s="1"/>
  <c r="E252" i="1"/>
  <c r="S252" i="1" s="1"/>
  <c r="E224" i="1"/>
  <c r="R224" i="1" s="1"/>
  <c r="E208" i="1"/>
  <c r="R208" i="1" s="1"/>
  <c r="E206" i="1"/>
  <c r="R206" i="1" s="1"/>
  <c r="E192" i="1"/>
  <c r="R192" i="1" s="1"/>
  <c r="E190" i="1"/>
  <c r="S190" i="1" s="1"/>
  <c r="E188" i="1"/>
  <c r="R188" i="1" s="1"/>
  <c r="E159" i="1"/>
  <c r="R159" i="1" s="1"/>
  <c r="E113" i="1"/>
  <c r="S113" i="1" s="1"/>
  <c r="E62" i="1"/>
  <c r="R62" i="1" s="1"/>
  <c r="E56" i="1"/>
  <c r="S56" i="1" s="1"/>
  <c r="E41" i="1"/>
  <c r="S41" i="1" s="1"/>
  <c r="E20" i="1"/>
  <c r="R20" i="1" s="1"/>
  <c r="R236" i="1"/>
  <c r="R234" i="1"/>
  <c r="R219" i="1"/>
  <c r="R163" i="1"/>
  <c r="R138" i="1"/>
  <c r="E426" i="1"/>
  <c r="R426" i="1" s="1"/>
  <c r="R427" i="1"/>
  <c r="E428" i="1"/>
  <c r="R428" i="1" s="1"/>
  <c r="E429" i="1"/>
  <c r="R429" i="1" s="1"/>
  <c r="E430" i="1"/>
  <c r="S430" i="1" s="1"/>
  <c r="E431" i="1"/>
  <c r="R431" i="1" s="1"/>
  <c r="E432" i="1"/>
  <c r="R432" i="1" s="1"/>
  <c r="E270" i="1"/>
  <c r="R270" i="1" s="1"/>
  <c r="E271" i="1"/>
  <c r="S271" i="1" s="1"/>
  <c r="E272" i="1"/>
  <c r="R272" i="1" s="1"/>
  <c r="E273" i="1"/>
  <c r="R273" i="1" s="1"/>
  <c r="E275" i="1"/>
  <c r="S275" i="1" s="1"/>
  <c r="E277" i="1"/>
  <c r="R277" i="1" s="1"/>
  <c r="E278" i="1"/>
  <c r="S278" i="1" s="1"/>
  <c r="E279" i="1"/>
  <c r="R279" i="1" s="1"/>
  <c r="E280" i="1"/>
  <c r="R280" i="1" s="1"/>
  <c r="E282" i="1"/>
  <c r="R282" i="1" s="1"/>
  <c r="E283" i="1"/>
  <c r="R283" i="1" s="1"/>
  <c r="E257" i="1"/>
  <c r="S257" i="1" s="1"/>
  <c r="E258" i="1"/>
  <c r="R258" i="1" s="1"/>
  <c r="E262" i="1"/>
  <c r="R262" i="1" s="1"/>
  <c r="E259" i="1"/>
  <c r="R259" i="1" s="1"/>
  <c r="E264" i="1"/>
  <c r="R264" i="1" s="1"/>
  <c r="E215" i="1"/>
  <c r="R215" i="1" s="1"/>
  <c r="E217" i="1"/>
  <c r="R217" i="1" s="1"/>
  <c r="E218" i="1"/>
  <c r="R218" i="1" s="1"/>
  <c r="E220" i="1"/>
  <c r="R220" i="1" s="1"/>
  <c r="E221" i="1"/>
  <c r="R221" i="1" s="1"/>
  <c r="E222" i="1"/>
  <c r="R222" i="1" s="1"/>
  <c r="E223" i="1"/>
  <c r="R223" i="1" s="1"/>
  <c r="E73" i="1"/>
  <c r="R73" i="1" s="1"/>
  <c r="E74" i="1"/>
  <c r="R74" i="1" s="1"/>
  <c r="E75" i="1"/>
  <c r="R75" i="1" s="1"/>
  <c r="E76" i="1"/>
  <c r="R76" i="1" s="1"/>
  <c r="E77" i="1"/>
  <c r="S77" i="1" s="1"/>
  <c r="E78" i="1"/>
  <c r="R78" i="1" s="1"/>
  <c r="E79" i="1"/>
  <c r="R79" i="1" s="1"/>
  <c r="E80" i="1"/>
  <c r="S80" i="1" s="1"/>
  <c r="E81" i="1"/>
  <c r="R81" i="1" s="1"/>
  <c r="E82" i="1"/>
  <c r="R82" i="1" s="1"/>
  <c r="E83" i="1"/>
  <c r="R83" i="1" s="1"/>
  <c r="E84" i="1"/>
  <c r="R84" i="1" s="1"/>
  <c r="E85" i="1"/>
  <c r="R85" i="1" s="1"/>
  <c r="E86" i="1"/>
  <c r="R86" i="1" s="1"/>
  <c r="E87" i="1"/>
  <c r="S87" i="1" s="1"/>
  <c r="E88" i="1"/>
  <c r="R88" i="1" s="1"/>
  <c r="E89" i="1"/>
  <c r="R89" i="1" s="1"/>
  <c r="E90" i="1"/>
  <c r="R90" i="1" s="1"/>
  <c r="E91" i="1"/>
  <c r="R91" i="1" s="1"/>
  <c r="E92" i="1"/>
  <c r="R92" i="1" s="1"/>
  <c r="E93" i="1"/>
  <c r="S93" i="1" s="1"/>
  <c r="E94" i="1"/>
  <c r="R94" i="1" s="1"/>
  <c r="E95" i="1"/>
  <c r="R95" i="1" s="1"/>
  <c r="E96" i="1"/>
  <c r="R96" i="1" s="1"/>
  <c r="E97" i="1"/>
  <c r="R97" i="1" s="1"/>
  <c r="E98" i="1"/>
  <c r="R98" i="1" s="1"/>
  <c r="E100" i="1"/>
  <c r="R100" i="1" s="1"/>
  <c r="E101" i="1"/>
  <c r="S101" i="1" s="1"/>
  <c r="E102" i="1"/>
  <c r="R102" i="1" s="1"/>
  <c r="E103" i="1"/>
  <c r="S103" i="1" s="1"/>
  <c r="E104" i="1"/>
  <c r="S104" i="1" s="1"/>
  <c r="E105" i="1"/>
  <c r="R105" i="1" s="1"/>
  <c r="E106" i="1"/>
  <c r="S106" i="1" s="1"/>
  <c r="E107" i="1"/>
  <c r="R107" i="1" s="1"/>
  <c r="E108" i="1"/>
  <c r="R108" i="1" s="1"/>
  <c r="E109" i="1"/>
  <c r="R109" i="1" s="1"/>
  <c r="E110" i="1"/>
  <c r="R110" i="1" s="1"/>
  <c r="E111" i="1"/>
  <c r="R111" i="1" s="1"/>
  <c r="E118" i="1"/>
  <c r="R118" i="1" s="1"/>
  <c r="E119" i="1"/>
  <c r="S119" i="1" s="1"/>
  <c r="E120" i="1"/>
  <c r="R120" i="1" s="1"/>
  <c r="E121" i="1"/>
  <c r="R121" i="1" s="1"/>
  <c r="E122" i="1"/>
  <c r="R122" i="1" s="1"/>
  <c r="E123" i="1"/>
  <c r="R123" i="1" s="1"/>
  <c r="E124" i="1"/>
  <c r="R124" i="1" s="1"/>
  <c r="E125" i="1"/>
  <c r="R125" i="1" s="1"/>
  <c r="E126" i="1"/>
  <c r="R126" i="1" s="1"/>
  <c r="E127" i="1"/>
  <c r="R127" i="1" s="1"/>
  <c r="E128" i="1"/>
  <c r="R128" i="1" s="1"/>
  <c r="E129" i="1"/>
  <c r="R129" i="1" s="1"/>
  <c r="E130" i="1"/>
  <c r="S130" i="1" s="1"/>
  <c r="E131" i="1"/>
  <c r="R131" i="1" s="1"/>
  <c r="E132" i="1"/>
  <c r="R132" i="1" s="1"/>
  <c r="E133" i="1"/>
  <c r="S133" i="1" s="1"/>
  <c r="E134" i="1"/>
  <c r="R134" i="1" s="1"/>
  <c r="E135" i="1"/>
  <c r="R135" i="1" s="1"/>
  <c r="E136" i="1"/>
  <c r="R136" i="1" s="1"/>
  <c r="E137" i="1"/>
  <c r="R137" i="1" s="1"/>
  <c r="E139" i="1"/>
  <c r="R139" i="1" s="1"/>
  <c r="E140" i="1"/>
  <c r="R140" i="1" s="1"/>
  <c r="E141" i="1"/>
  <c r="R141" i="1" s="1"/>
  <c r="E142" i="1"/>
  <c r="R142" i="1" s="1"/>
  <c r="E145" i="1"/>
  <c r="R145" i="1" s="1"/>
  <c r="E146" i="1"/>
  <c r="R146" i="1" s="1"/>
  <c r="E148" i="1"/>
  <c r="R148" i="1" s="1"/>
  <c r="E149" i="1"/>
  <c r="R149" i="1" s="1"/>
  <c r="E150" i="1"/>
  <c r="R150" i="1" s="1"/>
  <c r="E151" i="1"/>
  <c r="R151" i="1" s="1"/>
  <c r="E152" i="1"/>
  <c r="R152" i="1" s="1"/>
  <c r="E153" i="1"/>
  <c r="R153" i="1" s="1"/>
  <c r="E154" i="1"/>
  <c r="S154" i="1" s="1"/>
  <c r="E156" i="1"/>
  <c r="R156" i="1" s="1"/>
  <c r="E61" i="1"/>
  <c r="R61" i="1" s="1"/>
  <c r="E46" i="1"/>
  <c r="R46" i="1" s="1"/>
  <c r="E47" i="1"/>
  <c r="R47" i="1" s="1"/>
  <c r="E48" i="1"/>
  <c r="S48" i="1" s="1"/>
  <c r="E49" i="1"/>
  <c r="R49" i="1" s="1"/>
  <c r="E51" i="1"/>
  <c r="R51" i="1" s="1"/>
  <c r="E52" i="1"/>
  <c r="R52" i="1" s="1"/>
  <c r="E53" i="1"/>
  <c r="R53" i="1" s="1"/>
  <c r="E54" i="1"/>
  <c r="R54" i="1" s="1"/>
  <c r="E35" i="1"/>
  <c r="R35" i="1" s="1"/>
  <c r="E36" i="1"/>
  <c r="R36" i="1" s="1"/>
  <c r="E37" i="1"/>
  <c r="R37" i="1" s="1"/>
  <c r="E38" i="1"/>
  <c r="S38" i="1" s="1"/>
  <c r="E40" i="1"/>
  <c r="R40" i="1" s="1"/>
  <c r="R316" i="1"/>
  <c r="R398" i="1"/>
  <c r="R355" i="1"/>
  <c r="E251" i="1"/>
  <c r="R251" i="1" s="1"/>
  <c r="E250" i="1"/>
  <c r="S250" i="1" s="1"/>
  <c r="E248" i="1"/>
  <c r="R248" i="1" s="1"/>
  <c r="E245" i="1"/>
  <c r="R245" i="1" s="1"/>
  <c r="E244" i="1"/>
  <c r="R244" i="1" s="1"/>
  <c r="E243" i="1"/>
  <c r="R243" i="1" s="1"/>
  <c r="E241" i="1"/>
  <c r="R241" i="1" s="1"/>
  <c r="E238" i="1"/>
  <c r="R238" i="1" s="1"/>
  <c r="E237" i="1"/>
  <c r="R237" i="1" s="1"/>
  <c r="E235" i="1"/>
  <c r="R235" i="1" s="1"/>
  <c r="E231" i="1"/>
  <c r="S231" i="1" s="1"/>
  <c r="E230" i="1"/>
  <c r="R230" i="1" s="1"/>
  <c r="E229" i="1"/>
  <c r="R229" i="1" s="1"/>
  <c r="R294" i="1"/>
  <c r="E174" i="1"/>
  <c r="R174" i="1" s="1"/>
  <c r="E173" i="1"/>
  <c r="R173" i="1" s="1"/>
  <c r="E172" i="1"/>
  <c r="R172" i="1" s="1"/>
  <c r="E171" i="1"/>
  <c r="R171" i="1" s="1"/>
  <c r="E170" i="1"/>
  <c r="R170" i="1" s="1"/>
  <c r="E169" i="1"/>
  <c r="R169" i="1" s="1"/>
  <c r="E168" i="1"/>
  <c r="R168" i="1" s="1"/>
  <c r="E167" i="1"/>
  <c r="R167" i="1" s="1"/>
  <c r="E166" i="1"/>
  <c r="R166" i="1" s="1"/>
  <c r="E165" i="1"/>
  <c r="R165" i="1" s="1"/>
  <c r="I180" i="1" l="1"/>
  <c r="M180" i="1"/>
  <c r="R377" i="1"/>
  <c r="G180" i="1"/>
  <c r="K180" i="1"/>
  <c r="Q180" i="1"/>
  <c r="R27" i="1"/>
  <c r="R338" i="1"/>
  <c r="R378" i="1"/>
  <c r="R392" i="1"/>
  <c r="R231" i="1"/>
  <c r="R331" i="1"/>
  <c r="R372" i="1"/>
  <c r="R350" i="1"/>
  <c r="R407" i="1"/>
  <c r="R391" i="1"/>
  <c r="S440" i="1"/>
  <c r="R386" i="1"/>
  <c r="R405" i="1"/>
  <c r="R7" i="1"/>
  <c r="R342" i="1"/>
  <c r="R374" i="1"/>
  <c r="R357" i="1"/>
  <c r="R306" i="1"/>
  <c r="E210" i="1"/>
  <c r="R210" i="1" s="1"/>
  <c r="R339" i="1"/>
  <c r="R402" i="1"/>
  <c r="R318" i="1"/>
  <c r="R12" i="1"/>
  <c r="R430" i="1"/>
  <c r="R190" i="1"/>
  <c r="R434" i="1"/>
  <c r="R348" i="1"/>
  <c r="R373" i="1"/>
  <c r="R383" i="1"/>
  <c r="R396" i="1"/>
  <c r="R9" i="1"/>
  <c r="R104" i="1"/>
  <c r="E436" i="1"/>
  <c r="S436" i="1" s="1"/>
  <c r="R406" i="1"/>
  <c r="R387" i="1"/>
  <c r="R385" i="1"/>
  <c r="R403" i="1"/>
  <c r="R401" i="1"/>
  <c r="R380" i="1"/>
  <c r="R345" i="1"/>
  <c r="R343" i="1"/>
  <c r="R341" i="1"/>
  <c r="R332" i="1"/>
  <c r="R336" i="1"/>
  <c r="R56" i="1"/>
  <c r="R271" i="1"/>
  <c r="R183" i="1"/>
  <c r="R295" i="1"/>
  <c r="R329" i="1"/>
  <c r="R335" i="1"/>
  <c r="R340" i="1"/>
  <c r="R322" i="1"/>
  <c r="R320" i="1"/>
  <c r="R314" i="1"/>
  <c r="E226" i="1"/>
  <c r="R226" i="1" s="1"/>
  <c r="R113" i="1"/>
  <c r="R87" i="1"/>
  <c r="R80" i="1"/>
  <c r="R175" i="1"/>
  <c r="I66" i="1"/>
  <c r="G66" i="1"/>
  <c r="R281" i="1"/>
  <c r="E43" i="1"/>
  <c r="S43" i="1" s="1"/>
  <c r="R130" i="1"/>
  <c r="R334" i="1"/>
  <c r="R354" i="1"/>
  <c r="R106" i="1"/>
  <c r="R103" i="1"/>
  <c r="R232" i="1"/>
  <c r="S224" i="1"/>
  <c r="S442" i="1"/>
  <c r="G438" i="1"/>
  <c r="K438" i="1"/>
  <c r="M438" i="1"/>
  <c r="O438" i="1"/>
  <c r="S428" i="1"/>
  <c r="S432" i="1"/>
  <c r="R425" i="1"/>
  <c r="S427" i="1"/>
  <c r="S431" i="1"/>
  <c r="S426" i="1"/>
  <c r="S429" i="1"/>
  <c r="Q438" i="1"/>
  <c r="R390" i="1"/>
  <c r="R395" i="1"/>
  <c r="S388" i="1"/>
  <c r="S397" i="1"/>
  <c r="S399" i="1"/>
  <c r="S404" i="1"/>
  <c r="S408" i="1"/>
  <c r="R381" i="1"/>
  <c r="S366" i="1"/>
  <c r="S370" i="1"/>
  <c r="S382" i="1"/>
  <c r="S364" i="1"/>
  <c r="S368" i="1"/>
  <c r="S376" i="1"/>
  <c r="S384" i="1"/>
  <c r="S371" i="1"/>
  <c r="S375" i="1"/>
  <c r="S379" i="1"/>
  <c r="R351" i="1"/>
  <c r="S349" i="1"/>
  <c r="S353" i="1"/>
  <c r="R356" i="1"/>
  <c r="S344" i="1"/>
  <c r="S352" i="1"/>
  <c r="S347" i="1"/>
  <c r="S330" i="1"/>
  <c r="S333" i="1"/>
  <c r="S337" i="1"/>
  <c r="R313" i="1"/>
  <c r="S312" i="1"/>
  <c r="R317" i="1"/>
  <c r="S315" i="1"/>
  <c r="S319" i="1"/>
  <c r="S302" i="1"/>
  <c r="S296" i="1"/>
  <c r="R278" i="1"/>
  <c r="S273" i="1"/>
  <c r="S277" i="1"/>
  <c r="R275" i="1"/>
  <c r="R284" i="1"/>
  <c r="S272" i="1"/>
  <c r="S276" i="1"/>
  <c r="S280" i="1"/>
  <c r="S279" i="1"/>
  <c r="S283" i="1"/>
  <c r="S270" i="1"/>
  <c r="S274" i="1"/>
  <c r="S282" i="1"/>
  <c r="R257" i="1"/>
  <c r="S258" i="1"/>
  <c r="S262" i="1"/>
  <c r="S261" i="1"/>
  <c r="S265" i="1"/>
  <c r="S260" i="1"/>
  <c r="S264" i="1"/>
  <c r="S259" i="1"/>
  <c r="R252" i="1"/>
  <c r="S251" i="1"/>
  <c r="R250" i="1"/>
  <c r="S230" i="1"/>
  <c r="S238" i="1"/>
  <c r="S243" i="1"/>
  <c r="S247" i="1"/>
  <c r="S229" i="1"/>
  <c r="S233" i="1"/>
  <c r="S237" i="1"/>
  <c r="S246" i="1"/>
  <c r="S241" i="1"/>
  <c r="S245" i="1"/>
  <c r="S249" i="1"/>
  <c r="S235" i="1"/>
  <c r="S239" i="1"/>
  <c r="S244" i="1"/>
  <c r="S248" i="1"/>
  <c r="K288" i="1"/>
  <c r="S216" i="1"/>
  <c r="S220" i="1"/>
  <c r="S215" i="1"/>
  <c r="S223" i="1"/>
  <c r="S218" i="1"/>
  <c r="S222" i="1"/>
  <c r="S217" i="1"/>
  <c r="S221" i="1"/>
  <c r="S208" i="1"/>
  <c r="S206" i="1"/>
  <c r="S202" i="1"/>
  <c r="S198" i="1"/>
  <c r="S192" i="1"/>
  <c r="E195" i="1"/>
  <c r="S195" i="1" s="1"/>
  <c r="S188" i="1"/>
  <c r="R133" i="1"/>
  <c r="R119" i="1"/>
  <c r="R164" i="1"/>
  <c r="S121" i="1"/>
  <c r="S125" i="1"/>
  <c r="S129" i="1"/>
  <c r="S137" i="1"/>
  <c r="S141" i="1"/>
  <c r="S147" i="1"/>
  <c r="S151" i="1"/>
  <c r="S156" i="1"/>
  <c r="S168" i="1"/>
  <c r="S172" i="1"/>
  <c r="R154" i="1"/>
  <c r="S120" i="1"/>
  <c r="S124" i="1"/>
  <c r="S128" i="1"/>
  <c r="S132" i="1"/>
  <c r="S136" i="1"/>
  <c r="S140" i="1"/>
  <c r="S146" i="1"/>
  <c r="S150" i="1"/>
  <c r="S167" i="1"/>
  <c r="S171" i="1"/>
  <c r="S123" i="1"/>
  <c r="S127" i="1"/>
  <c r="S131" i="1"/>
  <c r="S135" i="1"/>
  <c r="S139" i="1"/>
  <c r="S145" i="1"/>
  <c r="S149" i="1"/>
  <c r="S153" i="1"/>
  <c r="S159" i="1"/>
  <c r="S166" i="1"/>
  <c r="S170" i="1"/>
  <c r="S174" i="1"/>
  <c r="S118" i="1"/>
  <c r="S122" i="1"/>
  <c r="S126" i="1"/>
  <c r="S134" i="1"/>
  <c r="S142" i="1"/>
  <c r="S148" i="1"/>
  <c r="S152" i="1"/>
  <c r="S165" i="1"/>
  <c r="S169" i="1"/>
  <c r="S173" i="1"/>
  <c r="R93" i="1"/>
  <c r="S75" i="1"/>
  <c r="S79" i="1"/>
  <c r="S83" i="1"/>
  <c r="S91" i="1"/>
  <c r="S95" i="1"/>
  <c r="S99" i="1"/>
  <c r="S107" i="1"/>
  <c r="S111" i="1"/>
  <c r="R101" i="1"/>
  <c r="R77" i="1"/>
  <c r="S74" i="1"/>
  <c r="S78" i="1"/>
  <c r="S82" i="1"/>
  <c r="S86" i="1"/>
  <c r="S90" i="1"/>
  <c r="S94" i="1"/>
  <c r="S98" i="1"/>
  <c r="S102" i="1"/>
  <c r="S110" i="1"/>
  <c r="S73" i="1"/>
  <c r="S81" i="1"/>
  <c r="S85" i="1"/>
  <c r="S89" i="1"/>
  <c r="S97" i="1"/>
  <c r="S105" i="1"/>
  <c r="S109" i="1"/>
  <c r="R112" i="1"/>
  <c r="S76" i="1"/>
  <c r="S84" i="1"/>
  <c r="S88" i="1"/>
  <c r="S92" i="1"/>
  <c r="S96" i="1"/>
  <c r="S100" i="1"/>
  <c r="S108" i="1"/>
  <c r="S62" i="1"/>
  <c r="S61" i="1"/>
  <c r="R48" i="1"/>
  <c r="S46" i="1"/>
  <c r="S50" i="1"/>
  <c r="S54" i="1"/>
  <c r="S49" i="1"/>
  <c r="S53" i="1"/>
  <c r="S52" i="1"/>
  <c r="S47" i="1"/>
  <c r="S51" i="1"/>
  <c r="S36" i="1"/>
  <c r="S40" i="1"/>
  <c r="R38" i="1"/>
  <c r="S35" i="1"/>
  <c r="S39" i="1"/>
  <c r="R41" i="1"/>
  <c r="S37" i="1"/>
  <c r="S20" i="1"/>
  <c r="S19" i="1"/>
  <c r="G288" i="1"/>
  <c r="M288" i="1"/>
  <c r="E115" i="1"/>
  <c r="E286" i="1"/>
  <c r="O30" i="1"/>
  <c r="Q288" i="1"/>
  <c r="I438" i="1"/>
  <c r="E359" i="1"/>
  <c r="E64" i="1"/>
  <c r="S64" i="1" s="1"/>
  <c r="E298" i="1"/>
  <c r="R24" i="1"/>
  <c r="O66" i="1"/>
  <c r="Q66" i="1"/>
  <c r="K30" i="1"/>
  <c r="E14" i="1"/>
  <c r="R161" i="1"/>
  <c r="E410" i="1"/>
  <c r="I267" i="1"/>
  <c r="E267" i="1" s="1"/>
  <c r="I325" i="1"/>
  <c r="K66" i="1"/>
  <c r="E325" i="1"/>
  <c r="K410" i="1"/>
  <c r="M66" i="1"/>
  <c r="E22" i="1"/>
  <c r="O288" i="1"/>
  <c r="R440" i="1"/>
  <c r="R311" i="1"/>
  <c r="R363" i="1"/>
  <c r="E177" i="1"/>
  <c r="E254" i="1"/>
  <c r="I30" i="1"/>
  <c r="E58" i="1"/>
  <c r="S210" i="1" l="1"/>
  <c r="M446" i="1"/>
  <c r="M453" i="1" s="1"/>
  <c r="K446" i="1"/>
  <c r="K453" i="1" s="1"/>
  <c r="Q446" i="1"/>
  <c r="Q453" i="1" s="1"/>
  <c r="G446" i="1"/>
  <c r="G453" i="1" s="1"/>
  <c r="O446" i="1"/>
  <c r="O453" i="1" s="1"/>
  <c r="S177" i="1"/>
  <c r="E180" i="1"/>
  <c r="S410" i="1"/>
  <c r="S254" i="1"/>
  <c r="S325" i="1"/>
  <c r="E438" i="1"/>
  <c r="R436" i="1"/>
  <c r="S226" i="1"/>
  <c r="R43" i="1"/>
  <c r="R14" i="1"/>
  <c r="S14" i="1"/>
  <c r="R444" i="1"/>
  <c r="S444" i="1"/>
  <c r="R422" i="1"/>
  <c r="S422" i="1"/>
  <c r="R359" i="1"/>
  <c r="S359" i="1"/>
  <c r="R298" i="1"/>
  <c r="S298" i="1"/>
  <c r="R286" i="1"/>
  <c r="S286" i="1"/>
  <c r="R267" i="1"/>
  <c r="S267" i="1"/>
  <c r="I288" i="1"/>
  <c r="I446" i="1" s="1"/>
  <c r="R195" i="1"/>
  <c r="R115" i="1"/>
  <c r="S115" i="1"/>
  <c r="R64" i="1"/>
  <c r="R58" i="1"/>
  <c r="S58" i="1"/>
  <c r="R22" i="1"/>
  <c r="S22" i="1"/>
  <c r="R410" i="1"/>
  <c r="E30" i="1"/>
  <c r="R325" i="1"/>
  <c r="E66" i="1"/>
  <c r="R177" i="1"/>
  <c r="E288" i="1"/>
  <c r="R254" i="1"/>
  <c r="E446" i="1" l="1"/>
  <c r="I453" i="1"/>
  <c r="R438" i="1"/>
  <c r="S438" i="1"/>
  <c r="R288" i="1"/>
  <c r="S288" i="1"/>
  <c r="R180" i="1"/>
  <c r="S180" i="1"/>
  <c r="R66" i="1"/>
  <c r="S66" i="1"/>
  <c r="R30" i="1"/>
  <c r="S30" i="1"/>
  <c r="S448" i="1" l="1"/>
  <c r="S446" i="1"/>
  <c r="R446" i="1"/>
  <c r="R448" i="1" l="1"/>
  <c r="E453" i="1"/>
  <c r="R453" i="1" l="1"/>
  <c r="S453" i="1"/>
</calcChain>
</file>

<file path=xl/sharedStrings.xml><?xml version="1.0" encoding="utf-8"?>
<sst xmlns="http://schemas.openxmlformats.org/spreadsheetml/2006/main" count="401" uniqueCount="288">
  <si>
    <t>Current Funds</t>
  </si>
  <si>
    <t>Distribution</t>
  </si>
  <si>
    <t>Total</t>
  </si>
  <si>
    <t>Unrestricted</t>
  </si>
  <si>
    <t>Restricted</t>
  </si>
  <si>
    <t xml:space="preserve"> Salaries and Wages</t>
  </si>
  <si>
    <t>Other Expenditures</t>
  </si>
  <si>
    <t>Less: Transfers</t>
  </si>
  <si>
    <t xml:space="preserve"> General</t>
  </si>
  <si>
    <t>Designated</t>
  </si>
  <si>
    <t>COLLEGE OF CREATIVE STUDIES</t>
  </si>
  <si>
    <t>INSTRUCTION</t>
  </si>
  <si>
    <t>Education</t>
  </si>
  <si>
    <t>Supervised teaching</t>
  </si>
  <si>
    <t>RESEARCH</t>
  </si>
  <si>
    <t>ACADEMIC SUPPORT</t>
  </si>
  <si>
    <t>Dean's office</t>
  </si>
  <si>
    <t>Total Graduate School of</t>
  </si>
  <si>
    <t xml:space="preserve"> Education</t>
  </si>
  <si>
    <t xml:space="preserve"> </t>
  </si>
  <si>
    <t>Chemical engineering</t>
  </si>
  <si>
    <t>Computer science</t>
  </si>
  <si>
    <t xml:space="preserve">Electrical and computer </t>
  </si>
  <si>
    <t>Interdisciplinary-engineering</t>
  </si>
  <si>
    <t>Materials for engineering</t>
  </si>
  <si>
    <t>Mechanical and environmental</t>
  </si>
  <si>
    <t>Dean's program</t>
  </si>
  <si>
    <t>Materials lab</t>
  </si>
  <si>
    <t>Engineering machine shop</t>
  </si>
  <si>
    <t>Total College of Engineering</t>
  </si>
  <si>
    <t xml:space="preserve">COLLEGE OF LETTERS AND </t>
  </si>
  <si>
    <t>SCIENCE</t>
  </si>
  <si>
    <t>Anthropology</t>
  </si>
  <si>
    <t>Art history</t>
  </si>
  <si>
    <t>Art studio</t>
  </si>
  <si>
    <t>Asian american studies</t>
  </si>
  <si>
    <t>Biological sciences</t>
  </si>
  <si>
    <t>Black studies</t>
  </si>
  <si>
    <t>Chemistry</t>
  </si>
  <si>
    <t>Chicano studies</t>
  </si>
  <si>
    <t>Classics</t>
  </si>
  <si>
    <t>Dramatic art</t>
  </si>
  <si>
    <t>East asian studies</t>
  </si>
  <si>
    <t>Economics</t>
  </si>
  <si>
    <t>English</t>
  </si>
  <si>
    <t>Environmental studies program</t>
  </si>
  <si>
    <t>Film studies program</t>
  </si>
  <si>
    <t>French and italian</t>
  </si>
  <si>
    <t>Geography</t>
  </si>
  <si>
    <t>Geological sciences</t>
  </si>
  <si>
    <t>Germanic and slavic and</t>
  </si>
  <si>
    <t>semitic studies</t>
  </si>
  <si>
    <t>History</t>
  </si>
  <si>
    <t xml:space="preserve">Humanities </t>
  </si>
  <si>
    <t>Law and society program</t>
  </si>
  <si>
    <t>Linguistics</t>
  </si>
  <si>
    <t>Mathematics</t>
  </si>
  <si>
    <t>Military science</t>
  </si>
  <si>
    <t>Music</t>
  </si>
  <si>
    <t>Philosophy</t>
  </si>
  <si>
    <t xml:space="preserve">Physics </t>
  </si>
  <si>
    <t>Political science</t>
  </si>
  <si>
    <t>Psychology</t>
  </si>
  <si>
    <t>Religious studies</t>
  </si>
  <si>
    <t>Sociology</t>
  </si>
  <si>
    <t>Spanish and portuguese</t>
  </si>
  <si>
    <t xml:space="preserve">Statistics </t>
  </si>
  <si>
    <t>Washington DC program</t>
  </si>
  <si>
    <t>Writing program</t>
  </si>
  <si>
    <t>Art museum</t>
  </si>
  <si>
    <t>Humanities</t>
  </si>
  <si>
    <t>Physics</t>
  </si>
  <si>
    <t>Provost programs</t>
  </si>
  <si>
    <t>Chemistry x-ray crystallography</t>
  </si>
  <si>
    <t>Life science computing</t>
  </si>
  <si>
    <t>Music-concert tours</t>
  </si>
  <si>
    <t>Physics-stores</t>
  </si>
  <si>
    <t>Physics-support services</t>
  </si>
  <si>
    <t>Social science computing</t>
  </si>
  <si>
    <t>Social science projects</t>
  </si>
  <si>
    <t>Vivarium</t>
  </si>
  <si>
    <t xml:space="preserve"> Science</t>
  </si>
  <si>
    <t>SCIENCE AND MANAGEMENT</t>
  </si>
  <si>
    <t xml:space="preserve">     Science and Management</t>
  </si>
  <si>
    <t>GRADUATE DIVISION</t>
  </si>
  <si>
    <t>Total Graduate Division</t>
  </si>
  <si>
    <t>SUMMER SESSION</t>
  </si>
  <si>
    <t>UNIVERSITY EXTENSION</t>
  </si>
  <si>
    <t>Continuing education</t>
  </si>
  <si>
    <t>Professional programs</t>
  </si>
  <si>
    <t>General programs</t>
  </si>
  <si>
    <t>Total University Extension</t>
  </si>
  <si>
    <t>CAMPUS-WIDE PROGRAMS</t>
  </si>
  <si>
    <t>Natural land/water reserve</t>
  </si>
  <si>
    <t>Off campus studies</t>
  </si>
  <si>
    <t>Physical activities program</t>
  </si>
  <si>
    <t xml:space="preserve">Regents professorships and </t>
  </si>
  <si>
    <t>lectureships</t>
  </si>
  <si>
    <t>Valentine eastern sierra reserve</t>
  </si>
  <si>
    <t>Ventura learning center</t>
  </si>
  <si>
    <t>Compensated absences accrual</t>
  </si>
  <si>
    <t>Educational fee expense proration</t>
  </si>
  <si>
    <t>Center for chicano studies</t>
  </si>
  <si>
    <t>Institute for social behavioral</t>
  </si>
  <si>
    <t>economic research</t>
  </si>
  <si>
    <t>Institute for computational</t>
  </si>
  <si>
    <t>earth systems science</t>
  </si>
  <si>
    <t>Institute for crustal studies</t>
  </si>
  <si>
    <t>Neuroscience research institute</t>
  </si>
  <si>
    <t>Institute for theoretical physics</t>
  </si>
  <si>
    <t>Marine science institute</t>
  </si>
  <si>
    <t>Research development</t>
  </si>
  <si>
    <t>Research travel</t>
  </si>
  <si>
    <t>PUBLIC SERVICE</t>
  </si>
  <si>
    <t>Art exhibits</t>
  </si>
  <si>
    <t>Arts and lectures</t>
  </si>
  <si>
    <t>Community college program</t>
  </si>
  <si>
    <t>Community service projects</t>
  </si>
  <si>
    <t>Work study program-contracting</t>
  </si>
  <si>
    <t>agencies</t>
  </si>
  <si>
    <t>Academic administration</t>
  </si>
  <si>
    <t>Dean-instructional development</t>
  </si>
  <si>
    <t>Dean-off campus studies</t>
  </si>
  <si>
    <t>Education abroad program</t>
  </si>
  <si>
    <t>Hazardous materials program</t>
  </si>
  <si>
    <t xml:space="preserve">Instructional evaluation </t>
  </si>
  <si>
    <t xml:space="preserve">Instructional resources </t>
  </si>
  <si>
    <t xml:space="preserve">Libraries </t>
  </si>
  <si>
    <t xml:space="preserve">Undergraduate instructional </t>
  </si>
  <si>
    <t>improvement</t>
  </si>
  <si>
    <t>STUDENT SERVICES</t>
  </si>
  <si>
    <t>Vice chancellor-student services</t>
  </si>
  <si>
    <t>Associated students</t>
  </si>
  <si>
    <t>Center for academic enrichment</t>
  </si>
  <si>
    <t xml:space="preserve">Community housing </t>
  </si>
  <si>
    <t>Counseling center</t>
  </si>
  <si>
    <t>Dean of students</t>
  </si>
  <si>
    <t>Disabled students program</t>
  </si>
  <si>
    <t>Events facility PPD costs</t>
  </si>
  <si>
    <t>Financial aid office</t>
  </si>
  <si>
    <t>Intercollegiate athletics</t>
  </si>
  <si>
    <t>services</t>
  </si>
  <si>
    <t>Office of educational opportunity</t>
  </si>
  <si>
    <t>Office of international students</t>
  </si>
  <si>
    <t>Public events</t>
  </si>
  <si>
    <t>Recreation programs</t>
  </si>
  <si>
    <t>Registrar's office</t>
  </si>
  <si>
    <t>Student activities-</t>
  </si>
  <si>
    <t>Alumni Affairs</t>
  </si>
  <si>
    <t>Ombudsman</t>
  </si>
  <si>
    <t>Publications</t>
  </si>
  <si>
    <t>Student affairs</t>
  </si>
  <si>
    <t>Student health service</t>
  </si>
  <si>
    <t>Undergraduate admissions office</t>
  </si>
  <si>
    <t>Women's center</t>
  </si>
  <si>
    <t>Student fee advisory committee</t>
  </si>
  <si>
    <t>Total Student Services</t>
  </si>
  <si>
    <t>INSTITUTIONAL SUPPORT</t>
  </si>
  <si>
    <t>Chancellor's office</t>
  </si>
  <si>
    <t>Vice chancellor-administrative</t>
  </si>
  <si>
    <t>Vice chancellor-institutional</t>
  </si>
  <si>
    <t>advancement</t>
  </si>
  <si>
    <t>Academic personnel</t>
  </si>
  <si>
    <t>Academic senate secretariat</t>
  </si>
  <si>
    <t>Administrative travel</t>
  </si>
  <si>
    <t>Alumni affairs office</t>
  </si>
  <si>
    <t>Architects and engineers</t>
  </si>
  <si>
    <t>Billing-accounts receivable office</t>
  </si>
  <si>
    <t>Budget and planning office</t>
  </si>
  <si>
    <t>Mail and receiving</t>
  </si>
  <si>
    <t>Storehouse</t>
  </si>
  <si>
    <t>Transportation services</t>
  </si>
  <si>
    <t>Collections office</t>
  </si>
  <si>
    <t>Development</t>
  </si>
  <si>
    <t>Environmental health and safety</t>
  </si>
  <si>
    <t>Human resources</t>
  </si>
  <si>
    <t>Information systems and computing</t>
  </si>
  <si>
    <t xml:space="preserve">Communications </t>
  </si>
  <si>
    <t>Computing</t>
  </si>
  <si>
    <t xml:space="preserve">Information systems </t>
  </si>
  <si>
    <t>Office of research</t>
  </si>
  <si>
    <t>Police</t>
  </si>
  <si>
    <t>Public information and publications</t>
  </si>
  <si>
    <t>Purchasing</t>
  </si>
  <si>
    <t xml:space="preserve">Insurance </t>
  </si>
  <si>
    <t>Miscellaneous employee benefits</t>
  </si>
  <si>
    <t>Total Institutional Support</t>
  </si>
  <si>
    <t>OPERATION AND MAINTENANCE OF</t>
  </si>
  <si>
    <t>PLANT</t>
  </si>
  <si>
    <t>Administration</t>
  </si>
  <si>
    <t>Building maintenance</t>
  </si>
  <si>
    <t>Grounds maintenance</t>
  </si>
  <si>
    <t>Janitorial service</t>
  </si>
  <si>
    <t>Plant service</t>
  </si>
  <si>
    <t>Refuse disposal</t>
  </si>
  <si>
    <t>Utilities</t>
  </si>
  <si>
    <t>Major repairs and alterations</t>
  </si>
  <si>
    <t>Total Operation and</t>
  </si>
  <si>
    <t xml:space="preserve"> Maintenance of Plant</t>
  </si>
  <si>
    <t>STUDENT FINANCIAL AID</t>
  </si>
  <si>
    <t>AUXILIARY ENTERPRISES</t>
  </si>
  <si>
    <t>RESIDENCE AND DINING HALLS</t>
  </si>
  <si>
    <t>OTHER</t>
  </si>
  <si>
    <t>Auxiliary enterprise administration</t>
  </si>
  <si>
    <t>Child care center</t>
  </si>
  <si>
    <t>Fenita and devereux</t>
  </si>
  <si>
    <t>Parking operations</t>
  </si>
  <si>
    <t>University center</t>
  </si>
  <si>
    <t>Total Auxiliary Enterprises</t>
  </si>
  <si>
    <t xml:space="preserve">Total Current Funds Expenditures </t>
  </si>
  <si>
    <t xml:space="preserve">Controller </t>
  </si>
  <si>
    <t>BREN SCHOOL OF ENVIRONMENTAL</t>
  </si>
  <si>
    <t>Office of information technology</t>
  </si>
  <si>
    <t>Business services office</t>
  </si>
  <si>
    <t>Cashiers office</t>
  </si>
  <si>
    <t xml:space="preserve">Women's studies program </t>
  </si>
  <si>
    <t xml:space="preserve">Provost's office </t>
  </si>
  <si>
    <t xml:space="preserve">Executive vice chancellor's office </t>
  </si>
  <si>
    <t xml:space="preserve">Total Bren School of Environmental </t>
  </si>
  <si>
    <t>Total Campus-Wide Programs</t>
  </si>
  <si>
    <t>University house maintenance</t>
  </si>
  <si>
    <t>Biological science-stores</t>
  </si>
  <si>
    <t>Total Student Financial Aid</t>
  </si>
  <si>
    <t>Scholarship Allowance</t>
  </si>
  <si>
    <t>Eliminated Capital Expenditures</t>
  </si>
  <si>
    <t>Audit services</t>
  </si>
  <si>
    <t>Instructional computing</t>
  </si>
  <si>
    <t>Mitsubishi center</t>
  </si>
  <si>
    <t>Dramatic Arts - production</t>
  </si>
  <si>
    <t>`</t>
  </si>
  <si>
    <t>Library research</t>
  </si>
  <si>
    <t>Accounting services</t>
  </si>
  <si>
    <t>Academic support - public affairs</t>
  </si>
  <si>
    <t>Residential communications</t>
  </si>
  <si>
    <t>Materials solid state</t>
  </si>
  <si>
    <t>Linguistic minority research institute</t>
  </si>
  <si>
    <t>PWC audit expense</t>
  </si>
  <si>
    <t>West campus point</t>
  </si>
  <si>
    <t>North campus</t>
  </si>
  <si>
    <t>Library copy services</t>
  </si>
  <si>
    <t>Germanic and slavic studies</t>
  </si>
  <si>
    <t>Academic development</t>
  </si>
  <si>
    <t>Daily Nexus</t>
  </si>
  <si>
    <t>La Cumbre Yearbook</t>
  </si>
  <si>
    <t>Subtotal</t>
  </si>
  <si>
    <t xml:space="preserve">CALIFORNIA NANO SYSTEMS INSTITUTE  </t>
  </si>
  <si>
    <t>Executive vice chancellor program</t>
  </si>
  <si>
    <t>support</t>
  </si>
  <si>
    <t xml:space="preserve">COLLEGE OF ENGINEERING  </t>
  </si>
  <si>
    <t>Center for film tv</t>
  </si>
  <si>
    <t>Total College of Creative Studies</t>
  </si>
  <si>
    <t>GRADUATE SCHOOL OF EDUCATION</t>
  </si>
  <si>
    <t>Interdisc Engr Res</t>
  </si>
  <si>
    <t xml:space="preserve">Communication </t>
  </si>
  <si>
    <t>Molecular Biology</t>
  </si>
  <si>
    <t>Speech &amp; Hearing</t>
  </si>
  <si>
    <t>Feminist studies</t>
  </si>
  <si>
    <t>ACADEMIC ADMINISTRATION</t>
  </si>
  <si>
    <t>BIOENGINEERING RESEARCH</t>
  </si>
  <si>
    <t>Ventura center</t>
  </si>
  <si>
    <t>Outreach programs</t>
  </si>
  <si>
    <t>Economic forecast project</t>
  </si>
  <si>
    <t>Institute energy efficiency</t>
  </si>
  <si>
    <t>Faculty career development</t>
  </si>
  <si>
    <t>Earth research institute</t>
  </si>
  <si>
    <t>Institute for energy efficiency</t>
  </si>
  <si>
    <t>Micro computer lab</t>
  </si>
  <si>
    <t>Multicultural center</t>
  </si>
  <si>
    <t>Health and safety</t>
  </si>
  <si>
    <t>Educational fee proration</t>
  </si>
  <si>
    <t xml:space="preserve">Subtotal College of Letters and </t>
  </si>
  <si>
    <t>Center for black studies</t>
  </si>
  <si>
    <t>ISLA VISTA-ADMINISTRATION</t>
  </si>
  <si>
    <t>Computer center</t>
  </si>
  <si>
    <t>Campus NSFAS support</t>
  </si>
  <si>
    <t>FUNDING STREAM ASSESSMENT</t>
  </si>
  <si>
    <t>Molecular biology</t>
  </si>
  <si>
    <t>Speech and hearing</t>
  </si>
  <si>
    <t>U.C. in Washington</t>
  </si>
  <si>
    <t>Project management</t>
  </si>
  <si>
    <t>Inventory</t>
  </si>
  <si>
    <t>Institute of religious</t>
  </si>
  <si>
    <t>Institute for terahertz sci</t>
  </si>
  <si>
    <t>Regents contributions</t>
  </si>
  <si>
    <t>Residence halls</t>
  </si>
  <si>
    <t>Lodging maintenance</t>
  </si>
  <si>
    <t>PROVISION-L&amp;S ACAD STAFF</t>
  </si>
  <si>
    <t>Technology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</si>
</sst>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,_);_(* \(#,##0,\);_(* &quot;-&quot;_);_(@_)"/>
    <numFmt numFmtId="165" formatCode="_(&quot;$&quot;* #,##0,_);_(&quot;$&quot;* \(#,##0,\);_(&quot;$&quot;* &quot;-&quot;_);_(@_)"/>
    <numFmt numFmtId="166" formatCode="_(* #,##0_);_(* \(#,##0\);_(* &quot;-&quot;??_);_(@_)"/>
    <numFmt numFmtId="167" formatCode="_(* #,##0.00000,_);_(* \(#,##0.00000,\);_(* &quot;-&quot;_);_(@_)"/>
    <numFmt numFmtId="168" formatCode="_(&quot;$&quot;* #,##0.00000,_);_(&quot;$&quot;* \(#,##0.00000,\);_(&quot;$&quot;* &quot;-&quot;_);_(@_)"/>
    <numFmt numFmtId="169" formatCode="#,##0.0000000_);\(#,##0.0000000\)"/>
    <numFmt numFmtId="170" formatCode="_(* #,##0.0000,_);_(* \(#,##0.0000,\);_(* &quot;-&quot;_);_(@_)"/>
  </numFmts>
  <fonts count="10" x14ac:knownFonts="1">
    <font>
      <sz val="10"/>
      <name val="Courier"/>
    </font>
    <font>
      <sz val="10"/>
      <name val="Times New Roman"/>
      <family val="1"/>
    </font>
    <font>
      <sz val="10"/>
      <color indexed="12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u/>
      <sz val="10"/>
      <name val="Times New Roman"/>
      <family val="1"/>
    </font>
    <font>
      <sz val="10"/>
      <color rgb="FF050897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0">
    <xf numFmtId="37" fontId="0" fillId="0" borderId="0"/>
    <xf numFmtId="164" fontId="2" fillId="0" borderId="0" applyNumberFormat="0" applyFill="0" applyBorder="0" applyAlignment="0">
      <protection locked="0"/>
    </xf>
    <xf numFmtId="164" fontId="2" fillId="0" borderId="0" applyFill="0" applyBorder="0" applyAlignment="0">
      <protection locked="0"/>
    </xf>
    <xf numFmtId="164" fontId="2" fillId="0" borderId="0" applyFill="0" applyBorder="0" applyAlignment="0">
      <protection locked="0"/>
    </xf>
    <xf numFmtId="43" fontId="3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NumberFormat="0" applyFill="0" applyBorder="0" applyAlignment="0"/>
    <xf numFmtId="164" fontId="1" fillId="0" borderId="0" applyFill="0" applyBorder="0" applyAlignment="0"/>
    <xf numFmtId="164" fontId="1" fillId="0" borderId="0" applyFill="0" applyBorder="0" applyAlignment="0"/>
  </cellStyleXfs>
  <cellXfs count="114">
    <xf numFmtId="37" fontId="0" fillId="0" borderId="0" xfId="0"/>
    <xf numFmtId="37" fontId="4" fillId="0" borderId="0" xfId="0" applyNumberFormat="1" applyFont="1" applyFill="1" applyAlignment="1" applyProtection="1">
      <alignment horizontal="left"/>
    </xf>
    <xf numFmtId="37" fontId="5" fillId="0" borderId="0" xfId="0" applyNumberFormat="1" applyFont="1" applyFill="1" applyAlignment="1" applyProtection="1">
      <alignment horizontal="left"/>
    </xf>
    <xf numFmtId="37" fontId="7" fillId="0" borderId="0" xfId="0" applyNumberFormat="1" applyFont="1" applyFill="1" applyAlignment="1" applyProtection="1">
      <alignment horizontal="left"/>
    </xf>
    <xf numFmtId="37" fontId="6" fillId="0" borderId="0" xfId="0" applyNumberFormat="1" applyFont="1" applyFill="1" applyAlignment="1" applyProtection="1">
      <alignment horizontal="left"/>
    </xf>
    <xf numFmtId="37" fontId="4" fillId="0" borderId="0" xfId="0" applyFont="1" applyFill="1"/>
    <xf numFmtId="164" fontId="4" fillId="0" borderId="1" xfId="0" applyNumberFormat="1" applyFont="1" applyFill="1" applyBorder="1" applyAlignment="1" applyProtection="1">
      <alignment horizontal="right"/>
    </xf>
    <xf numFmtId="166" fontId="4" fillId="0" borderId="0" xfId="4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37" fontId="4" fillId="0" borderId="2" xfId="0" applyFont="1" applyFill="1" applyBorder="1" applyAlignment="1">
      <alignment horizontal="right"/>
    </xf>
    <xf numFmtId="164" fontId="4" fillId="0" borderId="2" xfId="0" applyNumberFormat="1" applyFont="1" applyFill="1" applyBorder="1" applyAlignment="1">
      <alignment horizontal="right"/>
    </xf>
    <xf numFmtId="166" fontId="4" fillId="0" borderId="2" xfId="4" applyNumberFormat="1" applyFont="1" applyFill="1" applyBorder="1" applyAlignment="1">
      <alignment horizontal="right"/>
    </xf>
    <xf numFmtId="164" fontId="4" fillId="0" borderId="3" xfId="0" applyNumberFormat="1" applyFont="1" applyFill="1" applyBorder="1" applyAlignment="1">
      <alignment horizontal="right"/>
    </xf>
    <xf numFmtId="164" fontId="4" fillId="0" borderId="3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 applyProtection="1">
      <alignment horizontal="right"/>
    </xf>
    <xf numFmtId="164" fontId="4" fillId="0" borderId="3" xfId="0" applyNumberFormat="1" applyFont="1" applyFill="1" applyBorder="1" applyAlignment="1">
      <alignment horizontal="right" vertical="center"/>
    </xf>
    <xf numFmtId="164" fontId="4" fillId="0" borderId="3" xfId="0" applyNumberFormat="1" applyFont="1" applyFill="1" applyBorder="1" applyAlignment="1" applyProtection="1">
      <alignment horizontal="right" vertical="center"/>
    </xf>
    <xf numFmtId="37" fontId="4" fillId="0" borderId="0" xfId="0" applyFont="1" applyFill="1" applyAlignment="1">
      <alignment horizontal="right"/>
    </xf>
    <xf numFmtId="37" fontId="4" fillId="0" borderId="0" xfId="0" applyFont="1" applyFill="1" applyAlignment="1">
      <alignment horizontal="right" wrapText="1"/>
    </xf>
    <xf numFmtId="164" fontId="4" fillId="0" borderId="1" xfId="0" applyNumberFormat="1" applyFont="1" applyFill="1" applyBorder="1" applyAlignment="1">
      <alignment horizontal="center" wrapText="1"/>
    </xf>
    <xf numFmtId="166" fontId="4" fillId="0" borderId="0" xfId="4" applyNumberFormat="1" applyFont="1" applyFill="1" applyAlignment="1">
      <alignment horizontal="right" wrapText="1"/>
    </xf>
    <xf numFmtId="164" fontId="4" fillId="0" borderId="1" xfId="0" applyNumberFormat="1" applyFont="1" applyFill="1" applyBorder="1" applyAlignment="1">
      <alignment horizontal="centerContinuous" wrapText="1"/>
    </xf>
    <xf numFmtId="164" fontId="4" fillId="0" borderId="0" xfId="0" applyNumberFormat="1" applyFont="1" applyFill="1" applyAlignment="1">
      <alignment horizontal="right" wrapText="1"/>
    </xf>
    <xf numFmtId="164" fontId="4" fillId="0" borderId="0" xfId="0" applyNumberFormat="1" applyFont="1" applyFill="1" applyAlignment="1">
      <alignment wrapText="1"/>
    </xf>
    <xf numFmtId="164" fontId="4" fillId="0" borderId="0" xfId="0" applyNumberFormat="1" applyFont="1" applyFill="1" applyAlignment="1">
      <alignment horizontal="center" wrapText="1"/>
    </xf>
    <xf numFmtId="164" fontId="4" fillId="0" borderId="1" xfId="0" applyNumberFormat="1" applyFont="1" applyFill="1" applyBorder="1" applyAlignment="1" applyProtection="1">
      <alignment horizontal="center" wrapText="1"/>
      <protection locked="0"/>
    </xf>
    <xf numFmtId="164" fontId="4" fillId="0" borderId="0" xfId="0" applyNumberFormat="1" applyFont="1" applyFill="1" applyAlignment="1">
      <alignment horizontal="right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64" fontId="8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 applyProtection="1">
      <alignment horizontal="center" vertical="center"/>
    </xf>
    <xf numFmtId="164" fontId="4" fillId="0" borderId="0" xfId="0" applyNumberFormat="1" applyFont="1" applyFill="1" applyAlignment="1" applyProtection="1">
      <alignment horizontal="right"/>
    </xf>
    <xf numFmtId="37" fontId="8" fillId="0" borderId="0" xfId="0" applyNumberFormat="1" applyFont="1" applyFill="1" applyAlignment="1" applyProtection="1">
      <alignment horizontal="left"/>
    </xf>
    <xf numFmtId="37" fontId="8" fillId="0" borderId="0" xfId="0" applyFont="1" applyFill="1" applyAlignment="1">
      <alignment horizontal="right"/>
    </xf>
    <xf numFmtId="37" fontId="4" fillId="0" borderId="0" xfId="0" applyFont="1" applyFill="1" applyAlignment="1">
      <alignment horizontal="left"/>
    </xf>
    <xf numFmtId="164" fontId="4" fillId="0" borderId="0" xfId="0" applyNumberFormat="1" applyFont="1" applyFill="1" applyBorder="1" applyAlignment="1" applyProtection="1">
      <alignment horizontal="right"/>
    </xf>
    <xf numFmtId="164" fontId="4" fillId="0" borderId="0" xfId="0" applyNumberFormat="1" applyFont="1" applyFill="1" applyBorder="1" applyAlignment="1">
      <alignment horizontal="right"/>
    </xf>
    <xf numFmtId="164" fontId="4" fillId="0" borderId="0" xfId="1" applyNumberFormat="1" applyFont="1" applyFill="1" applyAlignment="1">
      <alignment horizontal="right"/>
      <protection locked="0"/>
    </xf>
    <xf numFmtId="37" fontId="8" fillId="0" borderId="0" xfId="0" applyFont="1" applyFill="1" applyAlignment="1">
      <alignment horizontal="left"/>
    </xf>
    <xf numFmtId="164" fontId="4" fillId="0" borderId="0" xfId="1" applyNumberFormat="1" applyFont="1" applyFill="1" applyBorder="1" applyAlignment="1">
      <alignment horizontal="right"/>
      <protection locked="0"/>
    </xf>
    <xf numFmtId="166" fontId="4" fillId="0" borderId="0" xfId="4" applyNumberFormat="1" applyFont="1" applyFill="1" applyBorder="1" applyAlignment="1">
      <alignment horizontal="right"/>
    </xf>
    <xf numFmtId="37" fontId="8" fillId="0" borderId="0" xfId="0" applyFont="1" applyFill="1" applyBorder="1" applyAlignment="1">
      <alignment horizontal="left"/>
    </xf>
    <xf numFmtId="166" fontId="4" fillId="0" borderId="0" xfId="4" applyNumberFormat="1" applyFont="1" applyFill="1"/>
    <xf numFmtId="37" fontId="8" fillId="0" borderId="0" xfId="0" applyNumberFormat="1" applyFont="1" applyFill="1" applyBorder="1" applyAlignment="1" applyProtection="1">
      <alignment horizontal="left"/>
    </xf>
    <xf numFmtId="165" fontId="1" fillId="0" borderId="0" xfId="8" applyNumberFormat="1" applyFont="1" applyFill="1" applyBorder="1" applyAlignment="1" applyProtection="1">
      <protection locked="0"/>
    </xf>
    <xf numFmtId="165" fontId="1" fillId="0" borderId="0" xfId="8" applyNumberFormat="1" applyFont="1" applyFill="1" applyBorder="1" applyAlignment="1"/>
    <xf numFmtId="165" fontId="1" fillId="0" borderId="0" xfId="2" applyNumberFormat="1" applyFont="1" applyFill="1" applyBorder="1" applyAlignment="1">
      <protection locked="0"/>
    </xf>
    <xf numFmtId="164" fontId="1" fillId="0" borderId="0" xfId="9" applyFont="1" applyFill="1" applyBorder="1" applyAlignment="1"/>
    <xf numFmtId="165" fontId="1" fillId="0" borderId="0" xfId="9" applyNumberFormat="1" applyFont="1" applyFill="1" applyBorder="1" applyAlignment="1" applyProtection="1">
      <protection locked="0"/>
    </xf>
    <xf numFmtId="165" fontId="1" fillId="0" borderId="0" xfId="3" applyNumberFormat="1" applyFont="1" applyFill="1" applyBorder="1" applyAlignment="1">
      <protection locked="0"/>
    </xf>
    <xf numFmtId="164" fontId="1" fillId="0" borderId="0" xfId="3" applyNumberFormat="1" applyFont="1" applyFill="1" applyBorder="1" applyAlignment="1">
      <protection locked="0"/>
    </xf>
    <xf numFmtId="164" fontId="1" fillId="0" borderId="1" xfId="3" applyNumberFormat="1" applyFont="1" applyFill="1" applyBorder="1" applyAlignment="1">
      <protection locked="0"/>
    </xf>
    <xf numFmtId="164" fontId="1" fillId="0" borderId="1" xfId="9" applyFont="1" applyFill="1" applyBorder="1" applyAlignment="1"/>
    <xf numFmtId="37" fontId="1" fillId="0" borderId="0" xfId="0" applyNumberFormat="1" applyFont="1" applyFill="1" applyAlignment="1" applyProtection="1">
      <alignment horizontal="left"/>
    </xf>
    <xf numFmtId="37" fontId="4" fillId="0" borderId="0" xfId="0" applyFont="1" applyFill="1" applyBorder="1"/>
    <xf numFmtId="37" fontId="4" fillId="0" borderId="0" xfId="0" applyFont="1" applyFill="1" applyBorder="1" applyAlignment="1">
      <alignment horizontal="left"/>
    </xf>
    <xf numFmtId="37" fontId="7" fillId="0" borderId="0" xfId="0" applyNumberFormat="1" applyFont="1" applyFill="1" applyBorder="1" applyAlignment="1" applyProtection="1">
      <alignment horizontal="left"/>
    </xf>
    <xf numFmtId="37" fontId="6" fillId="0" borderId="0" xfId="0" applyNumberFormat="1" applyFont="1" applyFill="1" applyBorder="1" applyAlignment="1" applyProtection="1">
      <alignment horizontal="left"/>
    </xf>
    <xf numFmtId="37" fontId="4" fillId="0" borderId="0" xfId="0" applyFont="1" applyFill="1" applyBorder="1" applyAlignment="1">
      <alignment horizontal="right"/>
    </xf>
    <xf numFmtId="49" fontId="9" fillId="2" borderId="0" xfId="8" applyNumberFormat="1" applyFont="1" applyFill="1" applyAlignment="1" applyProtection="1">
      <protection locked="0"/>
    </xf>
    <xf numFmtId="37" fontId="4" fillId="2" borderId="0" xfId="0" applyFont="1" applyFill="1"/>
    <xf numFmtId="37" fontId="4" fillId="2" borderId="0" xfId="0" applyNumberFormat="1" applyFont="1" applyFill="1" applyAlignment="1" applyProtection="1">
      <alignment horizontal="left"/>
    </xf>
    <xf numFmtId="164" fontId="4" fillId="2" borderId="1" xfId="0" applyNumberFormat="1" applyFont="1" applyFill="1" applyBorder="1" applyAlignment="1" applyProtection="1">
      <alignment horizontal="right"/>
    </xf>
    <xf numFmtId="166" fontId="4" fillId="2" borderId="0" xfId="4" applyNumberFormat="1" applyFont="1" applyFill="1" applyAlignment="1">
      <alignment horizontal="right"/>
    </xf>
    <xf numFmtId="164" fontId="4" fillId="2" borderId="0" xfId="0" applyNumberFormat="1" applyFont="1" applyFill="1" applyAlignment="1">
      <alignment horizontal="right"/>
    </xf>
    <xf numFmtId="164" fontId="1" fillId="2" borderId="0" xfId="9" applyFont="1" applyFill="1" applyBorder="1" applyAlignment="1"/>
    <xf numFmtId="164" fontId="1" fillId="2" borderId="0" xfId="3" applyNumberFormat="1" applyFont="1" applyFill="1" applyBorder="1" applyAlignment="1">
      <protection locked="0"/>
    </xf>
    <xf numFmtId="39" fontId="4" fillId="0" borderId="0" xfId="0" applyNumberFormat="1" applyFont="1" applyFill="1"/>
    <xf numFmtId="39" fontId="4" fillId="0" borderId="0" xfId="0" applyNumberFormat="1" applyFont="1" applyFill="1" applyAlignment="1">
      <alignment horizontal="right"/>
    </xf>
    <xf numFmtId="167" fontId="4" fillId="0" borderId="0" xfId="0" applyNumberFormat="1" applyFont="1" applyFill="1" applyAlignment="1" applyProtection="1">
      <alignment horizontal="right"/>
    </xf>
    <xf numFmtId="167" fontId="4" fillId="0" borderId="0" xfId="0" applyNumberFormat="1" applyFont="1" applyFill="1" applyAlignment="1">
      <alignment horizontal="right"/>
    </xf>
    <xf numFmtId="167" fontId="1" fillId="0" borderId="1" xfId="9" applyNumberFormat="1" applyFont="1" applyFill="1" applyBorder="1" applyAlignment="1"/>
    <xf numFmtId="168" fontId="4" fillId="0" borderId="0" xfId="0" applyNumberFormat="1" applyFont="1" applyFill="1" applyAlignment="1">
      <alignment horizontal="right"/>
    </xf>
    <xf numFmtId="167" fontId="4" fillId="0" borderId="0" xfId="0" applyNumberFormat="1" applyFont="1" applyFill="1" applyBorder="1" applyAlignment="1" applyProtection="1">
      <alignment horizontal="right"/>
    </xf>
    <xf numFmtId="39" fontId="4" fillId="0" borderId="0" xfId="4" applyNumberFormat="1" applyFont="1" applyFill="1" applyAlignment="1">
      <alignment horizontal="right"/>
    </xf>
    <xf numFmtId="39" fontId="1" fillId="0" borderId="0" xfId="9" applyNumberFormat="1" applyFont="1" applyFill="1" applyBorder="1" applyAlignment="1"/>
    <xf numFmtId="167" fontId="1" fillId="0" borderId="0" xfId="3" applyNumberFormat="1" applyFont="1" applyFill="1" applyBorder="1" applyAlignment="1">
      <protection locked="0"/>
    </xf>
    <xf numFmtId="168" fontId="1" fillId="0" borderId="0" xfId="9" applyNumberFormat="1" applyFont="1" applyFill="1" applyBorder="1" applyAlignment="1"/>
    <xf numFmtId="169" fontId="4" fillId="0" borderId="0" xfId="0" applyNumberFormat="1" applyFont="1" applyFill="1" applyAlignment="1">
      <alignment horizontal="right"/>
    </xf>
    <xf numFmtId="165" fontId="4" fillId="0" borderId="4" xfId="0" applyNumberFormat="1" applyFont="1" applyFill="1" applyBorder="1" applyAlignment="1" applyProtection="1">
      <alignment horizontal="right"/>
    </xf>
    <xf numFmtId="165" fontId="4" fillId="0" borderId="0" xfId="4" applyNumberFormat="1" applyFont="1" applyFill="1" applyAlignment="1">
      <alignment horizontal="right"/>
    </xf>
    <xf numFmtId="165" fontId="4" fillId="0" borderId="0" xfId="1" applyNumberFormat="1" applyFont="1" applyFill="1" applyAlignment="1">
      <alignment horizontal="right"/>
      <protection locked="0"/>
    </xf>
    <xf numFmtId="39" fontId="1" fillId="0" borderId="0" xfId="0" applyNumberFormat="1" applyFont="1" applyFill="1" applyAlignment="1" applyProtection="1">
      <alignment horizontal="left"/>
    </xf>
    <xf numFmtId="39" fontId="4" fillId="0" borderId="1" xfId="0" applyNumberFormat="1" applyFont="1" applyFill="1" applyBorder="1" applyAlignment="1" applyProtection="1">
      <alignment horizontal="right"/>
    </xf>
    <xf numFmtId="39" fontId="1" fillId="0" borderId="0" xfId="3" applyNumberFormat="1" applyFont="1" applyFill="1" applyBorder="1" applyAlignment="1">
      <protection locked="0"/>
    </xf>
    <xf numFmtId="39" fontId="4" fillId="0" borderId="0" xfId="0" applyNumberFormat="1" applyFont="1" applyFill="1" applyAlignment="1" applyProtection="1">
      <alignment horizontal="left"/>
    </xf>
    <xf numFmtId="39" fontId="1" fillId="0" borderId="1" xfId="3" applyNumberFormat="1" applyFont="1" applyFill="1" applyBorder="1" applyAlignment="1">
      <protection locked="0"/>
    </xf>
    <xf numFmtId="39" fontId="4" fillId="0" borderId="0" xfId="0" applyNumberFormat="1" applyFont="1" applyFill="1" applyAlignment="1">
      <alignment horizontal="left"/>
    </xf>
    <xf numFmtId="39" fontId="8" fillId="0" borderId="0" xfId="0" applyNumberFormat="1" applyFont="1" applyFill="1" applyAlignment="1" applyProtection="1">
      <alignment horizontal="left"/>
    </xf>
    <xf numFmtId="39" fontId="8" fillId="0" borderId="0" xfId="0" applyNumberFormat="1" applyFont="1" applyFill="1" applyAlignment="1">
      <alignment horizontal="left"/>
    </xf>
    <xf numFmtId="37" fontId="1" fillId="0" borderId="0" xfId="3" applyNumberFormat="1" applyFont="1" applyFill="1" applyBorder="1" applyAlignment="1">
      <protection locked="0"/>
    </xf>
    <xf numFmtId="37" fontId="4" fillId="0" borderId="0" xfId="0" applyNumberFormat="1" applyFont="1" applyFill="1" applyAlignment="1">
      <alignment horizontal="right"/>
    </xf>
    <xf numFmtId="164" fontId="4" fillId="0" borderId="1" xfId="7" applyNumberFormat="1" applyFont="1" applyFill="1" applyBorder="1" applyAlignment="1">
      <alignment horizontal="center" wrapText="1"/>
    </xf>
    <xf numFmtId="164" fontId="1" fillId="0" borderId="0" xfId="8" applyNumberFormat="1" applyFont="1" applyFill="1" applyBorder="1" applyAlignment="1"/>
    <xf numFmtId="164" fontId="1" fillId="0" borderId="0" xfId="2" applyNumberFormat="1" applyFont="1" applyFill="1" applyBorder="1" applyAlignment="1">
      <protection locked="0"/>
    </xf>
    <xf numFmtId="164" fontId="4" fillId="0" borderId="0" xfId="4" applyNumberFormat="1" applyFont="1" applyFill="1" applyAlignment="1">
      <alignment horizontal="right"/>
    </xf>
    <xf numFmtId="164" fontId="4" fillId="0" borderId="4" xfId="0" applyNumberFormat="1" applyFont="1" applyFill="1" applyBorder="1" applyAlignment="1" applyProtection="1">
      <alignment horizontal="right"/>
    </xf>
    <xf numFmtId="37" fontId="4" fillId="0" borderId="0" xfId="0" applyNumberFormat="1" applyFont="1" applyFill="1"/>
    <xf numFmtId="37" fontId="1" fillId="0" borderId="1" xfId="3" applyNumberFormat="1" applyFont="1" applyFill="1" applyBorder="1" applyAlignment="1">
      <protection locked="0"/>
    </xf>
    <xf numFmtId="37" fontId="4" fillId="0" borderId="0" xfId="4" applyNumberFormat="1" applyFont="1" applyFill="1" applyAlignment="1">
      <alignment horizontal="right"/>
    </xf>
    <xf numFmtId="37" fontId="1" fillId="0" borderId="0" xfId="9" applyNumberFormat="1" applyFont="1" applyFill="1" applyBorder="1" applyAlignment="1"/>
    <xf numFmtId="164" fontId="1" fillId="0" borderId="1" xfId="9" applyNumberFormat="1" applyFont="1" applyFill="1" applyBorder="1" applyAlignment="1"/>
    <xf numFmtId="37" fontId="4" fillId="0" borderId="1" xfId="0" applyNumberFormat="1" applyFont="1" applyFill="1" applyBorder="1" applyAlignment="1" applyProtection="1">
      <alignment horizontal="right"/>
    </xf>
    <xf numFmtId="37" fontId="4" fillId="0" borderId="0" xfId="0" applyNumberFormat="1" applyFont="1" applyFill="1" applyBorder="1" applyAlignment="1" applyProtection="1">
      <alignment horizontal="right"/>
    </xf>
    <xf numFmtId="37" fontId="1" fillId="0" borderId="1" xfId="9" applyNumberFormat="1" applyFont="1" applyFill="1" applyBorder="1" applyAlignment="1"/>
    <xf numFmtId="37" fontId="4" fillId="0" borderId="0" xfId="0" applyNumberFormat="1" applyFont="1" applyFill="1" applyAlignment="1" applyProtection="1">
      <alignment horizontal="right"/>
    </xf>
    <xf numFmtId="37" fontId="4" fillId="0" borderId="0" xfId="1" applyNumberFormat="1" applyFont="1" applyFill="1" applyBorder="1" applyAlignment="1">
      <alignment horizontal="right"/>
      <protection locked="0"/>
    </xf>
    <xf numFmtId="37" fontId="4" fillId="0" borderId="0" xfId="1" applyNumberFormat="1" applyFont="1" applyFill="1" applyAlignment="1">
      <alignment horizontal="right"/>
      <protection locked="0"/>
    </xf>
    <xf numFmtId="37" fontId="4" fillId="0" borderId="0" xfId="1" applyNumberFormat="1" applyFont="1" applyFill="1">
      <protection locked="0"/>
    </xf>
    <xf numFmtId="170" fontId="4" fillId="0" borderId="0" xfId="0" applyNumberFormat="1" applyFont="1" applyFill="1" applyAlignment="1">
      <alignment horizontal="right"/>
    </xf>
    <xf numFmtId="37" fontId="1" fillId="0" borderId="0" xfId="0" applyFont="1" applyFill="1"/>
    <xf numFmtId="37" fontId="1" fillId="0" borderId="0" xfId="0" applyFont="1" applyFill="1" applyAlignment="1">
      <alignment horizontal="right"/>
    </xf>
    <xf numFmtId="164" fontId="1" fillId="0" borderId="0" xfId="0" applyNumberFormat="1" applyFont="1" applyFill="1" applyAlignment="1" applyProtection="1">
      <alignment horizontal="right"/>
    </xf>
    <xf numFmtId="164" fontId="1" fillId="0" borderId="0" xfId="4" applyNumberFormat="1" applyFont="1" applyFill="1" applyAlignment="1">
      <alignment horizontal="right"/>
    </xf>
  </cellXfs>
  <cellStyles count="10">
    <cellStyle name="Campus-entered" xfId="1"/>
    <cellStyle name="Campus-entered 2" xfId="2"/>
    <cellStyle name="Campus-entered 3" xfId="3"/>
    <cellStyle name="Comma" xfId="4" builtinId="3"/>
    <cellStyle name="Normal" xfId="0" builtinId="0"/>
    <cellStyle name="Normal 2" xfId="5"/>
    <cellStyle name="Normal 3" xfId="6"/>
    <cellStyle name="Not-campus-entered" xfId="7"/>
    <cellStyle name="Not-campus-entered 2" xfId="8"/>
    <cellStyle name="Not-campus-entered 3" xfId="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S456"/>
  <sheetViews>
    <sheetView tabSelected="1" view="pageLayout" zoomScaleNormal="100" workbookViewId="0">
      <selection activeCell="A190" sqref="A190"/>
    </sheetView>
  </sheetViews>
  <sheetFormatPr defaultColWidth="8.875" defaultRowHeight="12.75" customHeight="1" x14ac:dyDescent="0.2"/>
  <cols>
    <col min="1" max="1" width="2.125" style="17" customWidth="1"/>
    <col min="2" max="2" width="1" style="17" customWidth="1"/>
    <col min="3" max="3" width="1.125" style="17" customWidth="1"/>
    <col min="4" max="4" width="29.25" style="17" bestFit="1" customWidth="1"/>
    <col min="5" max="5" width="12.625" style="26" customWidth="1"/>
    <col min="6" max="6" width="0.875" style="7" customWidth="1"/>
    <col min="7" max="7" width="11" style="26" customWidth="1"/>
    <col min="8" max="8" width="0.875" style="26" customWidth="1"/>
    <col min="9" max="9" width="10.625" style="26" customWidth="1"/>
    <col min="10" max="10" width="0.875" style="26" customWidth="1"/>
    <col min="11" max="11" width="10.625" style="26" customWidth="1"/>
    <col min="12" max="12" width="0.75" style="26" customWidth="1"/>
    <col min="13" max="13" width="10.625" style="26" customWidth="1"/>
    <col min="14" max="14" width="0.875" style="26" customWidth="1"/>
    <col min="15" max="15" width="10.625" style="26" customWidth="1"/>
    <col min="16" max="16" width="0.75" style="26" customWidth="1"/>
    <col min="17" max="17" width="10.625" style="26" customWidth="1"/>
    <col min="18" max="18" width="9.5" style="17" hidden="1" customWidth="1"/>
    <col min="19" max="214" width="9.5" style="17" customWidth="1"/>
    <col min="215" max="16384" width="8.875" style="17"/>
  </cols>
  <sheetData>
    <row r="1" spans="1:19" ht="21.75" customHeight="1" x14ac:dyDescent="0.2">
      <c r="A1" s="9"/>
      <c r="B1" s="9"/>
      <c r="C1" s="9"/>
      <c r="D1" s="9"/>
      <c r="E1" s="10"/>
      <c r="F1" s="11"/>
      <c r="G1" s="12"/>
      <c r="H1" s="12"/>
      <c r="I1" s="13" t="s">
        <v>0</v>
      </c>
      <c r="J1" s="12"/>
      <c r="K1" s="14"/>
      <c r="L1" s="10"/>
      <c r="M1" s="15"/>
      <c r="N1" s="15"/>
      <c r="O1" s="15" t="s">
        <v>1</v>
      </c>
      <c r="P1" s="15"/>
      <c r="Q1" s="16"/>
    </row>
    <row r="2" spans="1:19" s="18" customFormat="1" ht="33" customHeight="1" x14ac:dyDescent="0.2">
      <c r="E2" s="19" t="s">
        <v>2</v>
      </c>
      <c r="F2" s="20"/>
      <c r="G2" s="21" t="s">
        <v>3</v>
      </c>
      <c r="H2" s="21"/>
      <c r="I2" s="21"/>
      <c r="J2" s="22"/>
      <c r="K2" s="19" t="s">
        <v>4</v>
      </c>
      <c r="L2" s="23"/>
      <c r="M2" s="19" t="s">
        <v>5</v>
      </c>
      <c r="N2" s="24"/>
      <c r="O2" s="92" t="s">
        <v>6</v>
      </c>
      <c r="P2" s="24"/>
      <c r="Q2" s="25" t="s">
        <v>7</v>
      </c>
    </row>
    <row r="3" spans="1:19" ht="17.25" customHeight="1" x14ac:dyDescent="0.2">
      <c r="G3" s="27" t="s">
        <v>8</v>
      </c>
      <c r="H3" s="28"/>
      <c r="I3" s="27" t="s">
        <v>9</v>
      </c>
      <c r="J3" s="29"/>
      <c r="K3" s="30"/>
      <c r="Q3" s="31"/>
    </row>
    <row r="5" spans="1:19" ht="12.75" customHeight="1" x14ac:dyDescent="0.2">
      <c r="A5" s="32" t="s">
        <v>10</v>
      </c>
      <c r="B5" s="33"/>
    </row>
    <row r="6" spans="1:19" ht="12.75" customHeight="1" x14ac:dyDescent="0.2">
      <c r="A6" s="34"/>
    </row>
    <row r="7" spans="1:19" ht="12.75" customHeight="1" x14ac:dyDescent="0.2">
      <c r="A7" s="5"/>
      <c r="B7" s="1" t="s">
        <v>11</v>
      </c>
      <c r="E7" s="45">
        <f>G7+I7+K7</f>
        <v>2254128.62</v>
      </c>
      <c r="F7" s="44"/>
      <c r="G7" s="45">
        <v>2192846.1</v>
      </c>
      <c r="H7" s="46"/>
      <c r="I7" s="45">
        <v>-2124.31</v>
      </c>
      <c r="J7" s="46"/>
      <c r="K7" s="45">
        <v>63406.83</v>
      </c>
      <c r="L7" s="46"/>
      <c r="M7" s="93">
        <v>1477525.53</v>
      </c>
      <c r="N7" s="94"/>
      <c r="O7" s="93">
        <v>774904.09</v>
      </c>
      <c r="P7" s="46"/>
      <c r="Q7" s="45">
        <v>-1699</v>
      </c>
      <c r="R7" s="47">
        <f>E7-M7-O7-Q7</f>
        <v>3398.0000000001164</v>
      </c>
      <c r="S7" s="50">
        <f>E7-M7-O7+Q7</f>
        <v>1.1641532182693481E-10</v>
      </c>
    </row>
    <row r="8" spans="1:19" ht="12.75" customHeight="1" x14ac:dyDescent="0.2">
      <c r="A8" s="1"/>
      <c r="E8" s="35"/>
      <c r="G8" s="36"/>
      <c r="I8" s="36"/>
      <c r="K8" s="36"/>
      <c r="M8" s="36"/>
      <c r="O8" s="36"/>
      <c r="Q8" s="36"/>
      <c r="S8" s="70"/>
    </row>
    <row r="9" spans="1:19" ht="12.75" customHeight="1" x14ac:dyDescent="0.2">
      <c r="A9" s="1"/>
      <c r="B9" s="1" t="s">
        <v>14</v>
      </c>
      <c r="E9" s="47">
        <f>G9+I9+K9</f>
        <v>0</v>
      </c>
      <c r="F9" s="48"/>
      <c r="G9" s="50">
        <v>0</v>
      </c>
      <c r="H9" s="49"/>
      <c r="I9" s="50">
        <v>0</v>
      </c>
      <c r="J9" s="49"/>
      <c r="K9" s="50">
        <v>0</v>
      </c>
      <c r="L9" s="49"/>
      <c r="M9" s="50">
        <v>0</v>
      </c>
      <c r="N9" s="50"/>
      <c r="O9" s="50">
        <v>0</v>
      </c>
      <c r="P9" s="49"/>
      <c r="Q9" s="50">
        <v>0</v>
      </c>
      <c r="R9" s="47">
        <f>E9-M9-O9-Q9</f>
        <v>0</v>
      </c>
      <c r="S9" s="76">
        <f>E9-M9-O9+Q9</f>
        <v>0</v>
      </c>
    </row>
    <row r="10" spans="1:19" ht="12.75" customHeight="1" x14ac:dyDescent="0.2">
      <c r="A10" s="1"/>
      <c r="E10" s="35"/>
      <c r="G10" s="36"/>
      <c r="I10" s="36"/>
      <c r="K10" s="36"/>
      <c r="M10" s="36"/>
      <c r="O10" s="36"/>
      <c r="Q10" s="36"/>
      <c r="S10" s="70"/>
    </row>
    <row r="11" spans="1:19" ht="12.75" customHeight="1" x14ac:dyDescent="0.2">
      <c r="A11" s="1"/>
      <c r="B11" s="1" t="s">
        <v>15</v>
      </c>
      <c r="S11" s="70"/>
    </row>
    <row r="12" spans="1:19" ht="12.75" customHeight="1" x14ac:dyDescent="0.2">
      <c r="A12" s="1"/>
      <c r="B12" s="5"/>
      <c r="C12" s="1" t="s">
        <v>16</v>
      </c>
      <c r="D12" s="1"/>
      <c r="E12" s="6">
        <f>G12+I12+K12</f>
        <v>161862.31</v>
      </c>
      <c r="G12" s="51">
        <v>0</v>
      </c>
      <c r="H12" s="49"/>
      <c r="I12" s="51">
        <v>161862.31</v>
      </c>
      <c r="J12" s="49"/>
      <c r="K12" s="51">
        <v>0</v>
      </c>
      <c r="L12" s="49"/>
      <c r="M12" s="51">
        <v>102521.60000000001</v>
      </c>
      <c r="N12" s="50"/>
      <c r="O12" s="51">
        <v>59340.71</v>
      </c>
      <c r="P12" s="49"/>
      <c r="Q12" s="51">
        <v>0</v>
      </c>
      <c r="R12" s="47">
        <f>E12-M12-O12-Q12</f>
        <v>-7.2759576141834259E-12</v>
      </c>
      <c r="S12" s="50">
        <f>E12-M12-O12+Q12</f>
        <v>-7.2759576141834259E-12</v>
      </c>
    </row>
    <row r="13" spans="1:19" ht="12.75" customHeight="1" x14ac:dyDescent="0.2">
      <c r="A13" s="1"/>
      <c r="B13" s="5"/>
    </row>
    <row r="14" spans="1:19" s="68" customFormat="1" ht="12.75" customHeight="1" x14ac:dyDescent="0.2">
      <c r="A14" s="67"/>
      <c r="B14" s="67"/>
      <c r="C14" s="67"/>
      <c r="D14" s="82" t="s">
        <v>250</v>
      </c>
      <c r="E14" s="102">
        <f>SUM(E7:E12)</f>
        <v>2415990.9300000002</v>
      </c>
      <c r="F14" s="99"/>
      <c r="G14" s="102">
        <f>SUM(G7:G12)</f>
        <v>2192846.1</v>
      </c>
      <c r="H14" s="97"/>
      <c r="I14" s="102">
        <f>SUM(I7:I12)</f>
        <v>159738</v>
      </c>
      <c r="J14" s="97"/>
      <c r="K14" s="102">
        <f>SUM(K7:K12)</f>
        <v>63406.83</v>
      </c>
      <c r="L14" s="97"/>
      <c r="M14" s="102">
        <f>SUM(M7:M12)</f>
        <v>1580047.1300000001</v>
      </c>
      <c r="N14" s="97"/>
      <c r="O14" s="102">
        <f>SUM(O7:O12)</f>
        <v>834244.79999999993</v>
      </c>
      <c r="P14" s="91"/>
      <c r="Q14" s="102">
        <f>SUM(Q7:Q12)</f>
        <v>-1699</v>
      </c>
      <c r="R14" s="75">
        <f>E14-M14-O14-Q14</f>
        <v>3398.0000000001164</v>
      </c>
      <c r="S14" s="90">
        <f>E14-M14-O14+Q14</f>
        <v>1.1641532182693481E-10</v>
      </c>
    </row>
    <row r="15" spans="1:19" ht="12.75" customHeight="1" x14ac:dyDescent="0.2">
      <c r="A15" s="34"/>
    </row>
    <row r="16" spans="1:19" ht="12.75" customHeight="1" x14ac:dyDescent="0.2">
      <c r="A16" s="32" t="s">
        <v>251</v>
      </c>
      <c r="B16" s="33"/>
    </row>
    <row r="17" spans="1:19" ht="12.75" customHeight="1" x14ac:dyDescent="0.2">
      <c r="A17" s="34"/>
      <c r="B17" s="38"/>
    </row>
    <row r="18" spans="1:19" ht="12.75" customHeight="1" x14ac:dyDescent="0.2">
      <c r="A18" s="5"/>
      <c r="B18" s="1" t="s">
        <v>11</v>
      </c>
    </row>
    <row r="19" spans="1:19" ht="12.75" customHeight="1" x14ac:dyDescent="0.2">
      <c r="A19" s="5"/>
      <c r="B19" s="5"/>
      <c r="C19" s="1" t="s">
        <v>12</v>
      </c>
      <c r="D19" s="1"/>
      <c r="E19" s="47">
        <f>G19+I19+K19</f>
        <v>8196346.1100000003</v>
      </c>
      <c r="F19" s="48"/>
      <c r="G19" s="50">
        <v>7658722.54</v>
      </c>
      <c r="H19" s="49"/>
      <c r="I19" s="50">
        <v>518686.04</v>
      </c>
      <c r="J19" s="49"/>
      <c r="K19" s="50">
        <v>18937.53</v>
      </c>
      <c r="L19" s="49"/>
      <c r="M19" s="50">
        <v>5629703.5999999996</v>
      </c>
      <c r="N19" s="50"/>
      <c r="O19" s="50">
        <v>2563782.5099999998</v>
      </c>
      <c r="P19" s="49"/>
      <c r="Q19" s="50">
        <v>-2860</v>
      </c>
      <c r="R19" s="47">
        <f>E19-M19-O19-Q19</f>
        <v>5720.0000000009313</v>
      </c>
      <c r="S19" s="50">
        <f t="shared" ref="S19:S20" si="0">E19-M19-O19+Q19</f>
        <v>9.3132257461547852E-10</v>
      </c>
    </row>
    <row r="20" spans="1:19" ht="12.75" customHeight="1" x14ac:dyDescent="0.2">
      <c r="A20" s="5"/>
      <c r="B20" s="5"/>
      <c r="C20" s="1" t="s">
        <v>13</v>
      </c>
      <c r="D20" s="1"/>
      <c r="E20" s="6">
        <f>G20+I20+K20</f>
        <v>1850863.5499999998</v>
      </c>
      <c r="G20" s="51">
        <v>1598798.89</v>
      </c>
      <c r="H20" s="49"/>
      <c r="I20" s="51">
        <v>138397.70000000001</v>
      </c>
      <c r="J20" s="49"/>
      <c r="K20" s="51">
        <v>113666.96</v>
      </c>
      <c r="L20" s="49"/>
      <c r="M20" s="51">
        <v>1169342.8600000001</v>
      </c>
      <c r="N20" s="50"/>
      <c r="O20" s="51">
        <v>681212.69</v>
      </c>
      <c r="P20" s="49"/>
      <c r="Q20" s="51">
        <v>-308</v>
      </c>
      <c r="R20" s="47">
        <f>E20-M20-O20-Q20</f>
        <v>615.99999999976717</v>
      </c>
      <c r="S20" s="50">
        <f t="shared" si="0"/>
        <v>-2.3283064365386963E-10</v>
      </c>
    </row>
    <row r="21" spans="1:19" ht="12.75" customHeight="1" x14ac:dyDescent="0.2">
      <c r="A21" s="5"/>
      <c r="B21" s="34"/>
      <c r="S21" s="26"/>
    </row>
    <row r="22" spans="1:19" ht="12.75" customHeight="1" x14ac:dyDescent="0.2">
      <c r="A22" s="5"/>
      <c r="B22" s="5"/>
      <c r="C22" s="5"/>
      <c r="D22" s="1" t="s">
        <v>2</v>
      </c>
      <c r="E22" s="6">
        <f>G22+I22+K22</f>
        <v>10047209.66</v>
      </c>
      <c r="G22" s="6">
        <f>SUM(G19:G21)</f>
        <v>9257521.4299999997</v>
      </c>
      <c r="I22" s="6">
        <f>SUM(I19:I21)</f>
        <v>657083.74</v>
      </c>
      <c r="K22" s="6">
        <f>SUM(K19:K21)</f>
        <v>132604.49</v>
      </c>
      <c r="M22" s="6">
        <f>SUM(M19:M21)</f>
        <v>6799046.46</v>
      </c>
      <c r="O22" s="6">
        <f>SUM(O19:O21)</f>
        <v>3244995.1999999997</v>
      </c>
      <c r="Q22" s="6">
        <f>SUM(Q19:Q21)</f>
        <v>-3168</v>
      </c>
      <c r="R22" s="47">
        <f>E22-M22-O22-Q22</f>
        <v>6336.0000000004657</v>
      </c>
      <c r="S22" s="50">
        <f>E22-M22-O22+Q22</f>
        <v>4.6566128730773926E-10</v>
      </c>
    </row>
    <row r="23" spans="1:19" ht="12.75" customHeight="1" x14ac:dyDescent="0.2">
      <c r="A23" s="34"/>
      <c r="S23" s="26"/>
    </row>
    <row r="24" spans="1:19" ht="12.75" customHeight="1" x14ac:dyDescent="0.2">
      <c r="A24" s="5"/>
      <c r="B24" s="1" t="s">
        <v>14</v>
      </c>
      <c r="E24" s="52">
        <f>G24+I24+K24</f>
        <v>1344617.7000000002</v>
      </c>
      <c r="G24" s="51">
        <v>70035.850000000006</v>
      </c>
      <c r="H24" s="49"/>
      <c r="I24" s="51">
        <v>223599.55</v>
      </c>
      <c r="J24" s="49"/>
      <c r="K24" s="51">
        <v>1050982.3</v>
      </c>
      <c r="L24" s="49"/>
      <c r="M24" s="51">
        <v>803413.33</v>
      </c>
      <c r="N24" s="50"/>
      <c r="O24" s="51">
        <v>541200.37</v>
      </c>
      <c r="P24" s="49"/>
      <c r="Q24" s="51">
        <v>-4</v>
      </c>
      <c r="R24" s="47">
        <f>E24-M24-O24-Q24</f>
        <v>8.0000000002328306</v>
      </c>
      <c r="S24" s="50">
        <f>E24-M24-O24+Q24</f>
        <v>2.3283064365386963E-10</v>
      </c>
    </row>
    <row r="25" spans="1:19" ht="12.75" customHeight="1" x14ac:dyDescent="0.2">
      <c r="A25" s="34"/>
      <c r="S25" s="26"/>
    </row>
    <row r="26" spans="1:19" ht="12.75" customHeight="1" x14ac:dyDescent="0.2">
      <c r="A26" s="5"/>
      <c r="B26" s="1" t="s">
        <v>15</v>
      </c>
      <c r="S26" s="26"/>
    </row>
    <row r="27" spans="1:19" ht="12.75" customHeight="1" x14ac:dyDescent="0.2">
      <c r="A27" s="5"/>
      <c r="B27" s="5"/>
      <c r="C27" s="1" t="s">
        <v>16</v>
      </c>
      <c r="D27" s="1"/>
      <c r="E27" s="52">
        <f>G27+I27+K27</f>
        <v>2589716.54</v>
      </c>
      <c r="G27" s="51">
        <v>1756315.31</v>
      </c>
      <c r="H27" s="49"/>
      <c r="I27" s="51">
        <v>346154.52</v>
      </c>
      <c r="J27" s="49"/>
      <c r="K27" s="51">
        <v>487246.71</v>
      </c>
      <c r="L27" s="49"/>
      <c r="M27" s="51">
        <v>1727722.2</v>
      </c>
      <c r="N27" s="50"/>
      <c r="O27" s="51">
        <v>861551.34</v>
      </c>
      <c r="P27" s="49"/>
      <c r="Q27" s="51">
        <v>-443</v>
      </c>
      <c r="R27" s="47">
        <f>E27-M27-O27-Q27</f>
        <v>886.00000000011642</v>
      </c>
      <c r="S27" s="50">
        <f>E27-M27-O27+Q27</f>
        <v>1.1641532182693481E-10</v>
      </c>
    </row>
    <row r="28" spans="1:19" ht="12.75" customHeight="1" x14ac:dyDescent="0.2">
      <c r="A28" s="34"/>
      <c r="B28" s="5"/>
      <c r="S28" s="70"/>
    </row>
    <row r="29" spans="1:19" ht="12.75" customHeight="1" x14ac:dyDescent="0.2">
      <c r="A29" s="5"/>
      <c r="B29" s="5"/>
      <c r="C29" s="5"/>
      <c r="D29" s="1" t="s">
        <v>17</v>
      </c>
      <c r="S29" s="70"/>
    </row>
    <row r="30" spans="1:19" s="68" customFormat="1" ht="12.75" customHeight="1" x14ac:dyDescent="0.2">
      <c r="A30" s="67"/>
      <c r="B30" s="67"/>
      <c r="C30" s="67"/>
      <c r="D30" s="85" t="s">
        <v>18</v>
      </c>
      <c r="E30" s="102">
        <f>E22+E24+E27</f>
        <v>13981543.899999999</v>
      </c>
      <c r="F30" s="99"/>
      <c r="G30" s="102">
        <f>G22+G24+G27</f>
        <v>11083872.59</v>
      </c>
      <c r="H30" s="91"/>
      <c r="I30" s="102">
        <f>I22+I24+I27</f>
        <v>1226837.81</v>
      </c>
      <c r="J30" s="91"/>
      <c r="K30" s="102">
        <f>K22+K24+K27</f>
        <v>1670833.5</v>
      </c>
      <c r="L30" s="91"/>
      <c r="M30" s="102">
        <f>M22+M24+M27</f>
        <v>9330181.9900000002</v>
      </c>
      <c r="N30" s="91"/>
      <c r="O30" s="102">
        <f>O22+O24+O27</f>
        <v>4647746.91</v>
      </c>
      <c r="P30" s="91"/>
      <c r="Q30" s="102">
        <f>Q22+Q24+Q27</f>
        <v>-3615</v>
      </c>
      <c r="R30" s="75">
        <f>E30-M30-O30-Q30</f>
        <v>7229.9999999981374</v>
      </c>
      <c r="S30" s="50">
        <f>E30-M30-O30+Q30</f>
        <v>-1.862645149230957E-9</v>
      </c>
    </row>
    <row r="31" spans="1:19" ht="12.75" customHeight="1" x14ac:dyDescent="0.2">
      <c r="A31" s="34"/>
      <c r="E31" s="31" t="s">
        <v>19</v>
      </c>
      <c r="S31" s="26"/>
    </row>
    <row r="32" spans="1:19" ht="12.75" customHeight="1" x14ac:dyDescent="0.2">
      <c r="A32" s="32" t="s">
        <v>248</v>
      </c>
      <c r="B32" s="33"/>
      <c r="S32" s="26"/>
    </row>
    <row r="33" spans="1:19" ht="12.75" customHeight="1" x14ac:dyDescent="0.2">
      <c r="A33" s="34"/>
      <c r="S33" s="26"/>
    </row>
    <row r="34" spans="1:19" ht="12.75" customHeight="1" x14ac:dyDescent="0.2">
      <c r="A34" s="5"/>
      <c r="B34" s="1" t="s">
        <v>11</v>
      </c>
      <c r="S34" s="26"/>
    </row>
    <row r="35" spans="1:19" ht="12.75" customHeight="1" x14ac:dyDescent="0.2">
      <c r="A35" s="5"/>
      <c r="B35" s="5"/>
      <c r="C35" s="1" t="s">
        <v>20</v>
      </c>
      <c r="D35" s="1"/>
      <c r="E35" s="31">
        <f t="shared" ref="E35:E40" si="1">SUM(G35:K35)</f>
        <v>5296566.6700000009</v>
      </c>
      <c r="G35" s="50">
        <v>4994160.12</v>
      </c>
      <c r="H35" s="49"/>
      <c r="I35" s="50">
        <v>57131.69</v>
      </c>
      <c r="J35" s="49"/>
      <c r="K35" s="50">
        <v>245274.86</v>
      </c>
      <c r="L35" s="49"/>
      <c r="M35" s="50">
        <v>3702697.77</v>
      </c>
      <c r="N35" s="50"/>
      <c r="O35" s="50">
        <v>1821729.8</v>
      </c>
      <c r="P35" s="49"/>
      <c r="Q35" s="50">
        <v>227860.9</v>
      </c>
      <c r="R35" s="47">
        <f t="shared" ref="R35:R40" si="2">E35-M35-O35-Q35</f>
        <v>-455721.79999999923</v>
      </c>
      <c r="S35" s="50">
        <f t="shared" ref="S35:S41" si="3">E35-M35-O35+Q35</f>
        <v>7.8580342233181E-10</v>
      </c>
    </row>
    <row r="36" spans="1:19" ht="12.75" customHeight="1" x14ac:dyDescent="0.2">
      <c r="A36" s="5"/>
      <c r="B36" s="5"/>
      <c r="C36" s="1" t="s">
        <v>21</v>
      </c>
      <c r="D36" s="1"/>
      <c r="E36" s="31">
        <f t="shared" si="1"/>
        <v>8511646.7800000012</v>
      </c>
      <c r="G36" s="50">
        <v>8042862.4900000002</v>
      </c>
      <c r="H36" s="49"/>
      <c r="I36" s="50">
        <v>87996.98</v>
      </c>
      <c r="J36" s="49"/>
      <c r="K36" s="50">
        <v>380787.31</v>
      </c>
      <c r="L36" s="49"/>
      <c r="M36" s="50">
        <v>6000697.0899999999</v>
      </c>
      <c r="N36" s="50"/>
      <c r="O36" s="50">
        <v>2550579.92</v>
      </c>
      <c r="P36" s="49"/>
      <c r="Q36" s="50">
        <v>39630.230000000003</v>
      </c>
      <c r="R36" s="47">
        <f t="shared" si="2"/>
        <v>-79260.459999998595</v>
      </c>
      <c r="S36" s="50">
        <f t="shared" si="3"/>
        <v>1.4188117347657681E-9</v>
      </c>
    </row>
    <row r="37" spans="1:19" ht="12.75" customHeight="1" x14ac:dyDescent="0.2">
      <c r="A37" s="5"/>
      <c r="B37" s="5"/>
      <c r="C37" s="1" t="s">
        <v>22</v>
      </c>
      <c r="D37" s="1"/>
      <c r="E37" s="31">
        <f t="shared" si="1"/>
        <v>14713939.789999999</v>
      </c>
      <c r="G37" s="50">
        <v>10444098.529999999</v>
      </c>
      <c r="H37" s="49"/>
      <c r="I37" s="50">
        <v>3645292.05</v>
      </c>
      <c r="J37" s="49"/>
      <c r="K37" s="50">
        <v>624549.21</v>
      </c>
      <c r="L37" s="49"/>
      <c r="M37" s="50">
        <v>9356687.1500000004</v>
      </c>
      <c r="N37" s="50"/>
      <c r="O37" s="50">
        <v>8477212.6699999999</v>
      </c>
      <c r="P37" s="49"/>
      <c r="Q37" s="50">
        <v>3119960.03</v>
      </c>
      <c r="R37" s="47">
        <f t="shared" si="2"/>
        <v>-6239920.0600000005</v>
      </c>
      <c r="S37" s="50">
        <f t="shared" si="3"/>
        <v>0</v>
      </c>
    </row>
    <row r="38" spans="1:19" ht="12.75" customHeight="1" x14ac:dyDescent="0.2">
      <c r="A38" s="5"/>
      <c r="B38" s="5"/>
      <c r="C38" s="1" t="s">
        <v>23</v>
      </c>
      <c r="D38" s="1"/>
      <c r="E38" s="31">
        <f t="shared" si="1"/>
        <v>48934.33</v>
      </c>
      <c r="G38" s="50">
        <v>41007.599999999999</v>
      </c>
      <c r="H38" s="49"/>
      <c r="I38" s="50">
        <v>5479.04</v>
      </c>
      <c r="J38" s="49"/>
      <c r="K38" s="50">
        <v>2447.69</v>
      </c>
      <c r="L38" s="49"/>
      <c r="M38" s="50">
        <v>1931.25</v>
      </c>
      <c r="N38" s="50"/>
      <c r="O38" s="50">
        <v>47003.08</v>
      </c>
      <c r="P38" s="49"/>
      <c r="Q38" s="50"/>
      <c r="R38" s="47">
        <f t="shared" si="2"/>
        <v>0</v>
      </c>
      <c r="S38" s="50">
        <f t="shared" si="3"/>
        <v>0</v>
      </c>
    </row>
    <row r="39" spans="1:19" ht="12.75" customHeight="1" x14ac:dyDescent="0.2">
      <c r="A39" s="5"/>
      <c r="B39" s="5"/>
      <c r="C39" s="1" t="s">
        <v>24</v>
      </c>
      <c r="D39" s="1"/>
      <c r="E39" s="35">
        <f t="shared" si="1"/>
        <v>7021527.5099999998</v>
      </c>
      <c r="G39" s="50">
        <v>5524017.5300000003</v>
      </c>
      <c r="H39" s="49"/>
      <c r="I39" s="50">
        <v>1337729.8799999999</v>
      </c>
      <c r="J39" s="49"/>
      <c r="K39" s="50">
        <v>159780.1</v>
      </c>
      <c r="L39" s="49"/>
      <c r="M39" s="50">
        <v>4559892.58</v>
      </c>
      <c r="N39" s="50"/>
      <c r="O39" s="50">
        <v>4088141.42</v>
      </c>
      <c r="P39" s="49"/>
      <c r="Q39" s="50">
        <v>1626506.49</v>
      </c>
      <c r="R39" s="47">
        <f t="shared" si="2"/>
        <v>-3253012.9800000004</v>
      </c>
      <c r="S39" s="50">
        <f t="shared" si="3"/>
        <v>0</v>
      </c>
    </row>
    <row r="40" spans="1:19" ht="12.75" customHeight="1" x14ac:dyDescent="0.2">
      <c r="A40" s="5"/>
      <c r="B40" s="5"/>
      <c r="C40" s="1" t="s">
        <v>234</v>
      </c>
      <c r="D40" s="1"/>
      <c r="E40" s="35">
        <f t="shared" si="1"/>
        <v>84219.96</v>
      </c>
      <c r="G40" s="50"/>
      <c r="H40" s="49"/>
      <c r="I40" s="50"/>
      <c r="J40" s="49"/>
      <c r="K40" s="50">
        <v>84219.96</v>
      </c>
      <c r="L40" s="49"/>
      <c r="M40" s="50">
        <v>79149.95</v>
      </c>
      <c r="N40" s="50"/>
      <c r="O40" s="50">
        <v>5070.01</v>
      </c>
      <c r="P40" s="49"/>
      <c r="Q40" s="50"/>
      <c r="R40" s="47">
        <f t="shared" si="2"/>
        <v>9.0949470177292824E-12</v>
      </c>
      <c r="S40" s="50">
        <f t="shared" si="3"/>
        <v>9.0949470177292824E-12</v>
      </c>
    </row>
    <row r="41" spans="1:19" ht="12.75" customHeight="1" x14ac:dyDescent="0.2">
      <c r="A41" s="5"/>
      <c r="B41" s="5"/>
      <c r="C41" s="1" t="s">
        <v>25</v>
      </c>
      <c r="D41" s="1"/>
      <c r="E41" s="52">
        <f>G41+I41+K41</f>
        <v>6476100.4000000004</v>
      </c>
      <c r="G41" s="51">
        <v>6089809.8200000003</v>
      </c>
      <c r="H41" s="49"/>
      <c r="I41" s="51">
        <v>152454.19</v>
      </c>
      <c r="J41" s="49"/>
      <c r="K41" s="51">
        <v>233836.39</v>
      </c>
      <c r="L41" s="49"/>
      <c r="M41" s="51">
        <v>4083774.18</v>
      </c>
      <c r="N41" s="50"/>
      <c r="O41" s="51">
        <v>2401072.6800000002</v>
      </c>
      <c r="P41" s="49"/>
      <c r="Q41" s="51">
        <v>8746.4599999999991</v>
      </c>
      <c r="R41" s="47">
        <f>E41-M41-O41-Q41</f>
        <v>-17492.919999999962</v>
      </c>
      <c r="S41" s="50">
        <f t="shared" si="3"/>
        <v>3.637978807091713E-11</v>
      </c>
    </row>
    <row r="42" spans="1:19" ht="12.75" customHeight="1" x14ac:dyDescent="0.2">
      <c r="A42" s="34"/>
      <c r="S42" s="26"/>
    </row>
    <row r="43" spans="1:19" ht="12.75" customHeight="1" x14ac:dyDescent="0.2">
      <c r="A43" s="5"/>
      <c r="B43" s="5"/>
      <c r="C43" s="5"/>
      <c r="D43" s="1" t="s">
        <v>2</v>
      </c>
      <c r="E43" s="6">
        <f>G43+I43+K43</f>
        <v>42152935.440000005</v>
      </c>
      <c r="G43" s="6">
        <f>SUM(G35:G41)</f>
        <v>35135956.090000004</v>
      </c>
      <c r="I43" s="6">
        <f>SUM(I35:I41)</f>
        <v>5286083.83</v>
      </c>
      <c r="K43" s="6">
        <f>SUM(K35:K41)</f>
        <v>1730895.52</v>
      </c>
      <c r="M43" s="6">
        <f>SUM(M35:M41)</f>
        <v>27784829.969999995</v>
      </c>
      <c r="O43" s="6">
        <f>SUM(O35:O41)</f>
        <v>19390809.580000002</v>
      </c>
      <c r="Q43" s="6">
        <f>SUM(Q35:Q41)</f>
        <v>5022704.1099999994</v>
      </c>
      <c r="R43" s="47">
        <f>E43-M43-O43-Q43</f>
        <v>-10045408.219999991</v>
      </c>
      <c r="S43" s="50">
        <f>E43-M43-O43+Q43</f>
        <v>7.4505805969238281E-9</v>
      </c>
    </row>
    <row r="44" spans="1:19" ht="12.75" customHeight="1" x14ac:dyDescent="0.2">
      <c r="A44" s="34"/>
      <c r="S44" s="70"/>
    </row>
    <row r="45" spans="1:19" ht="12.75" customHeight="1" x14ac:dyDescent="0.2">
      <c r="A45" s="5"/>
      <c r="B45" s="1" t="s">
        <v>14</v>
      </c>
      <c r="G45" s="50"/>
      <c r="H45" s="49"/>
      <c r="I45" s="50"/>
      <c r="J45" s="49"/>
      <c r="K45" s="50"/>
      <c r="L45" s="49"/>
      <c r="M45" s="50"/>
      <c r="N45" s="50"/>
      <c r="O45" s="50"/>
      <c r="P45" s="49"/>
      <c r="Q45" s="50"/>
      <c r="S45" s="70"/>
    </row>
    <row r="46" spans="1:19" ht="12.75" customHeight="1" x14ac:dyDescent="0.2">
      <c r="A46" s="5"/>
      <c r="B46" s="5"/>
      <c r="C46" s="1" t="s">
        <v>20</v>
      </c>
      <c r="D46" s="5"/>
      <c r="E46" s="31">
        <f t="shared" ref="E46:E54" si="4">SUM(G46:K46)</f>
        <v>6254581.96</v>
      </c>
      <c r="G46" s="50">
        <v>180715.64</v>
      </c>
      <c r="H46" s="49"/>
      <c r="I46" s="50">
        <v>316943.24</v>
      </c>
      <c r="J46" s="49"/>
      <c r="K46" s="50">
        <v>5756923.0800000001</v>
      </c>
      <c r="L46" s="49"/>
      <c r="M46" s="50">
        <v>2940289.48</v>
      </c>
      <c r="N46" s="50"/>
      <c r="O46" s="50">
        <v>3313996.48</v>
      </c>
      <c r="P46" s="49"/>
      <c r="Q46" s="50">
        <v>-296</v>
      </c>
      <c r="R46" s="47">
        <f t="shared" ref="R46:R54" si="5">E46-M46-O46-Q46</f>
        <v>592</v>
      </c>
      <c r="S46" s="76">
        <f t="shared" ref="S46:S56" si="6">E46-M46-O46+Q46</f>
        <v>0</v>
      </c>
    </row>
    <row r="47" spans="1:19" ht="12.75" customHeight="1" x14ac:dyDescent="0.2">
      <c r="A47" s="5"/>
      <c r="B47" s="5"/>
      <c r="C47" s="1" t="s">
        <v>21</v>
      </c>
      <c r="D47" s="1"/>
      <c r="E47" s="31">
        <f t="shared" si="4"/>
        <v>7850291.7200000007</v>
      </c>
      <c r="G47" s="50">
        <v>72090.490000000005</v>
      </c>
      <c r="H47" s="49"/>
      <c r="I47" s="50">
        <v>6568.33</v>
      </c>
      <c r="J47" s="49"/>
      <c r="K47" s="50">
        <v>7771632.9000000004</v>
      </c>
      <c r="L47" s="49"/>
      <c r="M47" s="50">
        <v>3866478.35</v>
      </c>
      <c r="N47" s="50"/>
      <c r="O47" s="50">
        <v>3983573.37</v>
      </c>
      <c r="P47" s="49"/>
      <c r="Q47" s="50">
        <v>-240</v>
      </c>
      <c r="R47" s="47">
        <f t="shared" si="5"/>
        <v>480.00000000046566</v>
      </c>
      <c r="S47" s="50">
        <f t="shared" si="6"/>
        <v>4.6566128730773926E-10</v>
      </c>
    </row>
    <row r="48" spans="1:19" ht="12.75" customHeight="1" x14ac:dyDescent="0.2">
      <c r="A48" s="5"/>
      <c r="B48" s="5"/>
      <c r="C48" s="1" t="s">
        <v>26</v>
      </c>
      <c r="D48" s="1"/>
      <c r="E48" s="31">
        <f t="shared" si="4"/>
        <v>0</v>
      </c>
      <c r="G48" s="50"/>
      <c r="H48" s="49"/>
      <c r="I48" s="50"/>
      <c r="J48" s="49"/>
      <c r="K48" s="50"/>
      <c r="L48" s="49"/>
      <c r="M48" s="50"/>
      <c r="N48" s="50"/>
      <c r="O48" s="50"/>
      <c r="P48" s="49"/>
      <c r="Q48" s="50"/>
      <c r="R48" s="47">
        <f t="shared" si="5"/>
        <v>0</v>
      </c>
      <c r="S48" s="50">
        <f t="shared" si="6"/>
        <v>0</v>
      </c>
    </row>
    <row r="49" spans="1:19" ht="12.75" customHeight="1" x14ac:dyDescent="0.2">
      <c r="A49" s="5"/>
      <c r="B49" s="5"/>
      <c r="C49" s="1" t="s">
        <v>22</v>
      </c>
      <c r="D49" s="1"/>
      <c r="E49" s="31">
        <f t="shared" si="4"/>
        <v>16462195.690000001</v>
      </c>
      <c r="G49" s="50">
        <v>49337.57</v>
      </c>
      <c r="H49" s="49"/>
      <c r="I49" s="50">
        <v>445345.81</v>
      </c>
      <c r="J49" s="49"/>
      <c r="K49" s="50">
        <v>15967512.310000001</v>
      </c>
      <c r="L49" s="49"/>
      <c r="M49" s="50">
        <v>6306456.6500000004</v>
      </c>
      <c r="N49" s="50"/>
      <c r="O49" s="50">
        <v>10155499.039999999</v>
      </c>
      <c r="P49" s="49"/>
      <c r="Q49" s="50">
        <v>-240</v>
      </c>
      <c r="R49" s="47">
        <f t="shared" si="5"/>
        <v>480.00000000186265</v>
      </c>
      <c r="S49" s="50">
        <f t="shared" si="6"/>
        <v>1.862645149230957E-9</v>
      </c>
    </row>
    <row r="50" spans="1:19" ht="12.75" customHeight="1" x14ac:dyDescent="0.2">
      <c r="A50" s="5"/>
      <c r="B50" s="5"/>
      <c r="C50" s="1" t="s">
        <v>252</v>
      </c>
      <c r="D50" s="1"/>
      <c r="E50" s="31">
        <f>SUM(G50:K50)</f>
        <v>11898.25</v>
      </c>
      <c r="G50" s="50">
        <v>11898.25</v>
      </c>
      <c r="H50" s="49"/>
      <c r="I50" s="50"/>
      <c r="J50" s="49"/>
      <c r="K50" s="50"/>
      <c r="L50" s="49"/>
      <c r="M50" s="50">
        <v>5100.4399999999996</v>
      </c>
      <c r="N50" s="50"/>
      <c r="O50" s="50">
        <v>6797.81</v>
      </c>
      <c r="P50" s="49"/>
      <c r="Q50" s="50"/>
      <c r="R50" s="47">
        <f>E50-M50-O50-Q50</f>
        <v>0</v>
      </c>
      <c r="S50" s="50">
        <f t="shared" si="6"/>
        <v>0</v>
      </c>
    </row>
    <row r="51" spans="1:19" ht="12.75" customHeight="1" x14ac:dyDescent="0.2">
      <c r="A51" s="5"/>
      <c r="B51" s="5"/>
      <c r="C51" s="1" t="s">
        <v>24</v>
      </c>
      <c r="D51" s="1"/>
      <c r="E51" s="35">
        <f t="shared" si="4"/>
        <v>6638145.6600000001</v>
      </c>
      <c r="F51" s="40"/>
      <c r="G51" s="50">
        <f>75181.1</f>
        <v>75181.100000000006</v>
      </c>
      <c r="H51" s="49"/>
      <c r="I51" s="50">
        <f>166682.65</f>
        <v>166682.65</v>
      </c>
      <c r="J51" s="49"/>
      <c r="K51" s="50">
        <f>6396281.91</f>
        <v>6396281.9100000001</v>
      </c>
      <c r="L51" s="49"/>
      <c r="M51" s="50">
        <f>2319494.16</f>
        <v>2319494.16</v>
      </c>
      <c r="N51" s="50"/>
      <c r="O51" s="50">
        <f>4318006.5</f>
        <v>4318006.5</v>
      </c>
      <c r="P51" s="49"/>
      <c r="Q51" s="50">
        <f>-645</f>
        <v>-645</v>
      </c>
      <c r="R51" s="47">
        <f t="shared" si="5"/>
        <v>1290</v>
      </c>
      <c r="S51" s="50">
        <f t="shared" si="6"/>
        <v>0</v>
      </c>
    </row>
    <row r="52" spans="1:19" ht="12.75" customHeight="1" x14ac:dyDescent="0.2">
      <c r="A52" s="5"/>
      <c r="B52" s="5"/>
      <c r="C52" s="1" t="s">
        <v>27</v>
      </c>
      <c r="D52" s="1"/>
      <c r="E52" s="35">
        <f t="shared" si="4"/>
        <v>8039862.0199999996</v>
      </c>
      <c r="G52" s="50">
        <v>794492.13</v>
      </c>
      <c r="H52" s="49"/>
      <c r="I52" s="50">
        <v>819956.02</v>
      </c>
      <c r="J52" s="49"/>
      <c r="K52" s="50">
        <v>6425413.8700000001</v>
      </c>
      <c r="L52" s="49"/>
      <c r="M52" s="50">
        <v>4114305.67</v>
      </c>
      <c r="N52" s="50"/>
      <c r="O52" s="50">
        <v>4592395.7</v>
      </c>
      <c r="P52" s="49"/>
      <c r="Q52" s="50">
        <v>666839.35</v>
      </c>
      <c r="R52" s="47">
        <f t="shared" si="5"/>
        <v>-1333678.7000000007</v>
      </c>
      <c r="S52" s="50">
        <f t="shared" si="6"/>
        <v>0</v>
      </c>
    </row>
    <row r="53" spans="1:19" ht="12.75" customHeight="1" x14ac:dyDescent="0.2">
      <c r="A53" s="5"/>
      <c r="B53" s="5"/>
      <c r="C53" s="1" t="s">
        <v>234</v>
      </c>
      <c r="D53" s="1"/>
      <c r="E53" s="35">
        <f t="shared" si="4"/>
        <v>3891785.63</v>
      </c>
      <c r="G53" s="50">
        <v>492923.43</v>
      </c>
      <c r="H53" s="49"/>
      <c r="I53" s="50">
        <v>634665.51</v>
      </c>
      <c r="J53" s="49"/>
      <c r="K53" s="50">
        <v>2764196.69</v>
      </c>
      <c r="L53" s="49"/>
      <c r="M53" s="50">
        <v>1649944.51</v>
      </c>
      <c r="N53" s="50"/>
      <c r="O53" s="50">
        <v>3082702.12</v>
      </c>
      <c r="P53" s="49"/>
      <c r="Q53" s="50">
        <v>840861</v>
      </c>
      <c r="R53" s="47">
        <f t="shared" si="5"/>
        <v>-1681722</v>
      </c>
      <c r="S53" s="50">
        <f t="shared" si="6"/>
        <v>0</v>
      </c>
    </row>
    <row r="54" spans="1:19" ht="12.75" customHeight="1" x14ac:dyDescent="0.2">
      <c r="A54" s="5"/>
      <c r="B54" s="5"/>
      <c r="C54" s="1" t="s">
        <v>25</v>
      </c>
      <c r="D54" s="1"/>
      <c r="E54" s="35">
        <f t="shared" si="4"/>
        <v>3169791.4099999997</v>
      </c>
      <c r="G54" s="50">
        <v>23497.759999999998</v>
      </c>
      <c r="H54" s="49"/>
      <c r="I54" s="50">
        <v>2850.64</v>
      </c>
      <c r="J54" s="49"/>
      <c r="K54" s="50">
        <v>3143443.01</v>
      </c>
      <c r="L54" s="49"/>
      <c r="M54" s="50">
        <v>1865365.56</v>
      </c>
      <c r="N54" s="50"/>
      <c r="O54" s="50">
        <v>1304239.8500000001</v>
      </c>
      <c r="P54" s="49"/>
      <c r="Q54" s="50">
        <v>-186</v>
      </c>
      <c r="R54" s="47">
        <f t="shared" si="5"/>
        <v>371.99999999953434</v>
      </c>
      <c r="S54" s="50">
        <f t="shared" si="6"/>
        <v>-4.6566128730773926E-10</v>
      </c>
    </row>
    <row r="55" spans="1:19" ht="12.75" customHeight="1" x14ac:dyDescent="0.2">
      <c r="A55" s="5"/>
      <c r="B55" s="5"/>
      <c r="C55" s="1" t="s">
        <v>227</v>
      </c>
      <c r="D55" s="1"/>
      <c r="E55" s="35">
        <v>1245001.03</v>
      </c>
      <c r="G55" s="50"/>
      <c r="H55" s="49"/>
      <c r="I55" s="50"/>
      <c r="J55" s="49"/>
      <c r="K55" s="50">
        <v>1245001.03</v>
      </c>
      <c r="L55" s="49"/>
      <c r="M55" s="50">
        <v>669833.96</v>
      </c>
      <c r="N55" s="50"/>
      <c r="O55" s="50">
        <v>571689.06999999995</v>
      </c>
      <c r="P55" s="49"/>
      <c r="Q55" s="50">
        <v>-3478</v>
      </c>
      <c r="R55" s="47">
        <v>6956.0000000001164</v>
      </c>
      <c r="S55" s="50">
        <v>1.1641532182693481E-10</v>
      </c>
    </row>
    <row r="56" spans="1:19" ht="12.75" customHeight="1" x14ac:dyDescent="0.2">
      <c r="A56" s="5"/>
      <c r="B56" s="5"/>
      <c r="C56" s="53" t="s">
        <v>287</v>
      </c>
      <c r="D56" s="2"/>
      <c r="E56" s="52">
        <f>G56+I56+K56</f>
        <v>14.7</v>
      </c>
      <c r="G56" s="51">
        <v>14.7</v>
      </c>
      <c r="H56" s="49"/>
      <c r="I56" s="51"/>
      <c r="J56" s="49"/>
      <c r="K56" s="51" t="s">
        <v>19</v>
      </c>
      <c r="L56" s="49"/>
      <c r="M56" s="51" t="s">
        <v>19</v>
      </c>
      <c r="N56" s="50"/>
      <c r="O56" s="51">
        <v>14.7</v>
      </c>
      <c r="P56" s="49"/>
      <c r="Q56" s="51" t="s">
        <v>19</v>
      </c>
      <c r="R56" s="47">
        <f>E56-M56-O56-Q56</f>
        <v>0</v>
      </c>
      <c r="S56" s="50">
        <f t="shared" si="6"/>
        <v>0</v>
      </c>
    </row>
    <row r="57" spans="1:19" ht="12.75" customHeight="1" x14ac:dyDescent="0.2">
      <c r="A57" s="34"/>
      <c r="J57" s="31"/>
      <c r="L57" s="35"/>
      <c r="N57" s="35"/>
      <c r="P57" s="35"/>
      <c r="S57" s="26"/>
    </row>
    <row r="58" spans="1:19" ht="12.75" customHeight="1" x14ac:dyDescent="0.2">
      <c r="A58" s="5"/>
      <c r="B58" s="5"/>
      <c r="C58" s="5"/>
      <c r="D58" s="1" t="s">
        <v>2</v>
      </c>
      <c r="E58" s="6">
        <f>G58+I58+K58</f>
        <v>53563568.07</v>
      </c>
      <c r="F58" s="40"/>
      <c r="G58" s="6">
        <f>SUM(G46:G56)</f>
        <v>1700151.07</v>
      </c>
      <c r="I58" s="6">
        <f>SUM(I46:I56)</f>
        <v>2393012.2000000002</v>
      </c>
      <c r="J58" s="31"/>
      <c r="K58" s="6">
        <f>SUM(K46:K56)</f>
        <v>49470404.799999997</v>
      </c>
      <c r="L58" s="35"/>
      <c r="M58" s="6">
        <f>SUM(M46:M56)</f>
        <v>23737268.780000001</v>
      </c>
      <c r="N58" s="35"/>
      <c r="O58" s="6">
        <f>SUM(O46:O56)</f>
        <v>31328914.640000001</v>
      </c>
      <c r="P58" s="35"/>
      <c r="Q58" s="6">
        <f>SUM(Q46:Q56)</f>
        <v>1502615.35</v>
      </c>
      <c r="R58" s="47">
        <f>E58-M58-O58-Q58</f>
        <v>-3005230.7000000016</v>
      </c>
      <c r="S58" s="50">
        <f>E58-M58-O58+Q58</f>
        <v>0</v>
      </c>
    </row>
    <row r="59" spans="1:19" ht="12.75" customHeight="1" x14ac:dyDescent="0.2">
      <c r="A59" s="5"/>
      <c r="B59" s="5"/>
      <c r="C59" s="5"/>
      <c r="D59" s="1"/>
      <c r="E59" s="35"/>
      <c r="F59" s="40"/>
      <c r="G59" s="35"/>
      <c r="I59" s="35"/>
      <c r="J59" s="31"/>
      <c r="K59" s="35"/>
      <c r="L59" s="35"/>
      <c r="M59" s="35"/>
      <c r="N59" s="35"/>
      <c r="O59" s="35"/>
      <c r="P59" s="35"/>
      <c r="Q59" s="35"/>
      <c r="R59" s="47"/>
      <c r="S59" s="26"/>
    </row>
    <row r="60" spans="1:19" ht="12.75" customHeight="1" x14ac:dyDescent="0.2">
      <c r="A60" s="5"/>
      <c r="B60" s="1" t="s">
        <v>15</v>
      </c>
      <c r="J60" s="31"/>
      <c r="L60" s="35"/>
      <c r="N60" s="35"/>
      <c r="P60" s="35"/>
      <c r="S60" s="26"/>
    </row>
    <row r="61" spans="1:19" ht="12.75" customHeight="1" x14ac:dyDescent="0.2">
      <c r="A61" s="5"/>
      <c r="B61" s="5"/>
      <c r="C61" s="1" t="s">
        <v>16</v>
      </c>
      <c r="D61" s="1"/>
      <c r="E61" s="31">
        <f>SUM(G61:K61)</f>
        <v>5514019.3100000005</v>
      </c>
      <c r="G61" s="50">
        <v>3914374.92</v>
      </c>
      <c r="H61" s="49"/>
      <c r="I61" s="50">
        <v>1085212.49</v>
      </c>
      <c r="J61" s="49"/>
      <c r="K61" s="50">
        <v>514431.9</v>
      </c>
      <c r="L61" s="49"/>
      <c r="M61" s="50">
        <v>3313831.34</v>
      </c>
      <c r="N61" s="50"/>
      <c r="O61" s="50">
        <v>2194863.9700000002</v>
      </c>
      <c r="P61" s="49"/>
      <c r="Q61" s="50">
        <v>-5324</v>
      </c>
      <c r="R61" s="47">
        <f>E61-M61-O61-Q61</f>
        <v>10648.000000000466</v>
      </c>
      <c r="S61" s="50">
        <f t="shared" ref="S61:S62" si="7">E61-M61-O61+Q61</f>
        <v>4.6566128730773926E-10</v>
      </c>
    </row>
    <row r="62" spans="1:19" ht="12.75" customHeight="1" x14ac:dyDescent="0.2">
      <c r="A62" s="5"/>
      <c r="B62" s="5"/>
      <c r="C62" s="1" t="s">
        <v>28</v>
      </c>
      <c r="D62" s="1"/>
      <c r="E62" s="52">
        <f>G62+I62+K62</f>
        <v>157138.99999999997</v>
      </c>
      <c r="G62" s="51">
        <v>143913.51999999999</v>
      </c>
      <c r="H62" s="49"/>
      <c r="I62" s="51">
        <v>12803.08</v>
      </c>
      <c r="J62" s="49"/>
      <c r="K62" s="51">
        <v>422.4</v>
      </c>
      <c r="L62" s="49"/>
      <c r="M62" s="51">
        <v>136382.53</v>
      </c>
      <c r="N62" s="50"/>
      <c r="O62" s="51">
        <v>98656.54</v>
      </c>
      <c r="P62" s="49"/>
      <c r="Q62" s="51">
        <v>77900.070000000007</v>
      </c>
      <c r="R62" s="47">
        <f>E62-M62-O62-Q62</f>
        <v>-155800.14000000001</v>
      </c>
      <c r="S62" s="50">
        <f t="shared" si="7"/>
        <v>0</v>
      </c>
    </row>
    <row r="63" spans="1:19" ht="12.75" customHeight="1" x14ac:dyDescent="0.2">
      <c r="A63" s="1" t="s">
        <v>19</v>
      </c>
      <c r="E63" s="31"/>
      <c r="J63" s="31"/>
      <c r="N63" s="35"/>
      <c r="P63" s="35"/>
      <c r="S63" s="26"/>
    </row>
    <row r="64" spans="1:19" ht="12.75" customHeight="1" x14ac:dyDescent="0.2">
      <c r="A64" s="5"/>
      <c r="B64" s="5"/>
      <c r="C64" s="5"/>
      <c r="D64" s="1" t="s">
        <v>2</v>
      </c>
      <c r="E64" s="6">
        <f>G64+I64+K64</f>
        <v>5671158.3099999996</v>
      </c>
      <c r="G64" s="6">
        <f>SUM(G61:G62)</f>
        <v>4058288.44</v>
      </c>
      <c r="I64" s="6">
        <f>SUM(I61:I62)</f>
        <v>1098015.57</v>
      </c>
      <c r="K64" s="6">
        <f>SUM(K61:K62)</f>
        <v>514854.30000000005</v>
      </c>
      <c r="M64" s="6">
        <f>SUM(M61:M62)</f>
        <v>3450213.8699999996</v>
      </c>
      <c r="O64" s="6">
        <f>SUM(O61:O62)</f>
        <v>2293520.5100000002</v>
      </c>
      <c r="Q64" s="6">
        <f>SUM(Q61:Q62)</f>
        <v>72576.070000000007</v>
      </c>
      <c r="R64" s="47">
        <f>E64-M64-O64-Q64</f>
        <v>-145152.14000000031</v>
      </c>
      <c r="S64" s="50">
        <f>E64-M64-O64+Q64</f>
        <v>-2.9103830456733704E-10</v>
      </c>
    </row>
    <row r="65" spans="1:19" ht="12.75" customHeight="1" x14ac:dyDescent="0.2">
      <c r="A65" s="34"/>
      <c r="S65" s="70"/>
    </row>
    <row r="66" spans="1:19" s="68" customFormat="1" ht="12.75" customHeight="1" x14ac:dyDescent="0.2">
      <c r="A66" s="67"/>
      <c r="B66" s="67"/>
      <c r="C66" s="67"/>
      <c r="D66" s="85" t="s">
        <v>29</v>
      </c>
      <c r="E66" s="102">
        <f>E64+E58+E43</f>
        <v>101387661.82000001</v>
      </c>
      <c r="F66" s="99"/>
      <c r="G66" s="102">
        <f>G64+G58+G43</f>
        <v>40894395.600000001</v>
      </c>
      <c r="H66" s="105"/>
      <c r="I66" s="102">
        <f>I64+I58+I43</f>
        <v>8777111.6000000015</v>
      </c>
      <c r="J66" s="105"/>
      <c r="K66" s="102">
        <f>K64+K58+K43</f>
        <v>51716154.619999997</v>
      </c>
      <c r="L66" s="105"/>
      <c r="M66" s="102">
        <f>M64+M58+M43</f>
        <v>54972312.619999997</v>
      </c>
      <c r="N66" s="105"/>
      <c r="O66" s="102">
        <f>O64+O58+O43</f>
        <v>53013244.730000004</v>
      </c>
      <c r="P66" s="105"/>
      <c r="Q66" s="102">
        <f>Q64+Q58+Q43</f>
        <v>6597895.5299999993</v>
      </c>
      <c r="R66" s="75">
        <f>E66-M66-O66-Q66</f>
        <v>-13195791.059999993</v>
      </c>
      <c r="S66" s="76">
        <f>E66-M66-O66+Q66</f>
        <v>0</v>
      </c>
    </row>
    <row r="67" spans="1:19" ht="12.75" customHeight="1" x14ac:dyDescent="0.2">
      <c r="A67" s="38"/>
      <c r="B67" s="33"/>
      <c r="S67" s="70"/>
    </row>
    <row r="68" spans="1:19" ht="12.75" customHeight="1" x14ac:dyDescent="0.2">
      <c r="A68" s="38"/>
      <c r="B68" s="33"/>
      <c r="S68" s="70"/>
    </row>
    <row r="69" spans="1:19" ht="12.75" customHeight="1" x14ac:dyDescent="0.2">
      <c r="A69" s="32" t="s">
        <v>30</v>
      </c>
      <c r="S69" s="70"/>
    </row>
    <row r="70" spans="1:19" ht="12.75" customHeight="1" x14ac:dyDescent="0.2">
      <c r="A70" s="34" t="s">
        <v>19</v>
      </c>
      <c r="B70" s="38" t="s">
        <v>31</v>
      </c>
      <c r="S70" s="70"/>
    </row>
    <row r="71" spans="1:19" ht="12.75" customHeight="1" x14ac:dyDescent="0.2">
      <c r="A71" s="5"/>
      <c r="S71" s="70"/>
    </row>
    <row r="72" spans="1:19" ht="12.75" customHeight="1" x14ac:dyDescent="0.2">
      <c r="A72" s="5"/>
      <c r="B72" s="1" t="s">
        <v>11</v>
      </c>
      <c r="S72" s="70"/>
    </row>
    <row r="73" spans="1:19" ht="12.75" customHeight="1" x14ac:dyDescent="0.2">
      <c r="A73" s="5"/>
      <c r="B73" s="34">
        <v>1</v>
      </c>
      <c r="C73" s="1" t="s">
        <v>32</v>
      </c>
      <c r="D73" s="1"/>
      <c r="E73" s="31">
        <f t="shared" ref="E73:E91" si="8">SUM(G73:K73)</f>
        <v>3658780.08</v>
      </c>
      <c r="G73" s="50">
        <v>3578618.86</v>
      </c>
      <c r="H73" s="49"/>
      <c r="I73" s="50">
        <v>63836.54</v>
      </c>
      <c r="J73" s="49"/>
      <c r="K73" s="50">
        <v>16324.68</v>
      </c>
      <c r="L73" s="49"/>
      <c r="M73" s="50">
        <v>2503888.4</v>
      </c>
      <c r="N73" s="50"/>
      <c r="O73" s="50">
        <v>1154891.68</v>
      </c>
      <c r="P73" s="49"/>
      <c r="Q73" s="50"/>
      <c r="R73" s="47">
        <f t="shared" ref="R73:R111" si="9">E73-M73-O73-Q73</f>
        <v>2.3283064365386963E-10</v>
      </c>
      <c r="S73" s="50">
        <f t="shared" ref="S73:S113" si="10">E73-M73-O73+Q73</f>
        <v>2.3283064365386963E-10</v>
      </c>
    </row>
    <row r="74" spans="1:19" ht="12.75" customHeight="1" x14ac:dyDescent="0.2">
      <c r="A74" s="5"/>
      <c r="B74" s="34">
        <v>2</v>
      </c>
      <c r="C74" s="1" t="s">
        <v>33</v>
      </c>
      <c r="D74" s="1"/>
      <c r="E74" s="31">
        <f t="shared" si="8"/>
        <v>4310478.47</v>
      </c>
      <c r="G74" s="50">
        <v>3952149.94</v>
      </c>
      <c r="H74" s="49"/>
      <c r="I74" s="50">
        <v>16211.72</v>
      </c>
      <c r="J74" s="49"/>
      <c r="K74" s="50">
        <v>342116.81</v>
      </c>
      <c r="L74" s="49"/>
      <c r="M74" s="50">
        <v>2726417.15</v>
      </c>
      <c r="N74" s="50"/>
      <c r="O74" s="50">
        <v>1583843.82</v>
      </c>
      <c r="P74" s="49"/>
      <c r="Q74" s="50">
        <v>-217.5</v>
      </c>
      <c r="R74" s="47">
        <f t="shared" si="9"/>
        <v>434.99999999976717</v>
      </c>
      <c r="S74" s="50">
        <f t="shared" si="10"/>
        <v>-2.3283064365386963E-10</v>
      </c>
    </row>
    <row r="75" spans="1:19" ht="12.75" customHeight="1" x14ac:dyDescent="0.2">
      <c r="A75" s="5"/>
      <c r="B75" s="34">
        <v>3</v>
      </c>
      <c r="C75" s="1" t="s">
        <v>34</v>
      </c>
      <c r="D75" s="1"/>
      <c r="E75" s="31">
        <f t="shared" si="8"/>
        <v>2948320.14</v>
      </c>
      <c r="G75" s="50">
        <v>2853272.49</v>
      </c>
      <c r="H75" s="49"/>
      <c r="I75" s="50">
        <v>61860.79</v>
      </c>
      <c r="J75" s="49"/>
      <c r="K75" s="50">
        <v>33186.86</v>
      </c>
      <c r="L75" s="49"/>
      <c r="M75" s="50">
        <v>1913719.75</v>
      </c>
      <c r="N75" s="50"/>
      <c r="O75" s="50">
        <v>1034352.39</v>
      </c>
      <c r="P75" s="49"/>
      <c r="Q75" s="50">
        <v>-248</v>
      </c>
      <c r="R75" s="47">
        <f t="shared" si="9"/>
        <v>496.00000000011642</v>
      </c>
      <c r="S75" s="50">
        <f t="shared" si="10"/>
        <v>1.1641532182693481E-10</v>
      </c>
    </row>
    <row r="76" spans="1:19" ht="12.75" customHeight="1" x14ac:dyDescent="0.2">
      <c r="A76" s="5"/>
      <c r="B76" s="34">
        <v>4</v>
      </c>
      <c r="C76" s="1" t="s">
        <v>35</v>
      </c>
      <c r="D76" s="1"/>
      <c r="E76" s="31">
        <f t="shared" si="8"/>
        <v>995819.59</v>
      </c>
      <c r="G76" s="50">
        <v>978914.33</v>
      </c>
      <c r="H76" s="49"/>
      <c r="I76" s="50">
        <v>15371.14</v>
      </c>
      <c r="J76" s="49"/>
      <c r="K76" s="50">
        <v>1534.12</v>
      </c>
      <c r="L76" s="49"/>
      <c r="M76" s="50">
        <v>689086.52</v>
      </c>
      <c r="N76" s="50"/>
      <c r="O76" s="50">
        <v>306703.07</v>
      </c>
      <c r="P76" s="49"/>
      <c r="Q76" s="50">
        <v>-30</v>
      </c>
      <c r="R76" s="47">
        <f t="shared" si="9"/>
        <v>59.999999999941792</v>
      </c>
      <c r="S76" s="50">
        <f t="shared" si="10"/>
        <v>-5.8207660913467407E-11</v>
      </c>
    </row>
    <row r="77" spans="1:19" ht="12.75" customHeight="1" x14ac:dyDescent="0.2">
      <c r="A77" s="5"/>
      <c r="B77" s="34">
        <v>5</v>
      </c>
      <c r="C77" s="1" t="s">
        <v>36</v>
      </c>
      <c r="D77" s="1"/>
      <c r="E77" s="31">
        <f t="shared" si="8"/>
        <v>15776336.709999999</v>
      </c>
      <c r="G77" s="50">
        <v>14893115.85</v>
      </c>
      <c r="H77" s="49"/>
      <c r="I77" s="50">
        <v>529480.91</v>
      </c>
      <c r="J77" s="49"/>
      <c r="K77" s="50">
        <v>353739.95</v>
      </c>
      <c r="L77" s="49"/>
      <c r="M77" s="50">
        <v>10827245.960000001</v>
      </c>
      <c r="N77" s="50"/>
      <c r="O77" s="50">
        <v>5091513.55</v>
      </c>
      <c r="P77" s="49"/>
      <c r="Q77" s="50">
        <v>142422.79999999999</v>
      </c>
      <c r="R77" s="47">
        <f t="shared" si="9"/>
        <v>-284845.60000000166</v>
      </c>
      <c r="S77" s="50">
        <f t="shared" si="10"/>
        <v>-1.6880221664905548E-9</v>
      </c>
    </row>
    <row r="78" spans="1:19" ht="12.75" customHeight="1" x14ac:dyDescent="0.2">
      <c r="A78" s="5"/>
      <c r="B78" s="34">
        <v>6</v>
      </c>
      <c r="C78" s="1" t="s">
        <v>37</v>
      </c>
      <c r="D78" s="1"/>
      <c r="E78" s="31">
        <f t="shared" si="8"/>
        <v>2307192.35</v>
      </c>
      <c r="G78" s="50">
        <v>2297490.5099999998</v>
      </c>
      <c r="H78" s="49"/>
      <c r="I78" s="50">
        <v>4730.43</v>
      </c>
      <c r="J78" s="49"/>
      <c r="K78" s="50">
        <v>4971.41</v>
      </c>
      <c r="L78" s="49"/>
      <c r="M78" s="50">
        <v>1621619.07</v>
      </c>
      <c r="N78" s="50"/>
      <c r="O78" s="50">
        <v>685024.28</v>
      </c>
      <c r="P78" s="49"/>
      <c r="Q78" s="50">
        <v>-549</v>
      </c>
      <c r="R78" s="47">
        <f t="shared" si="9"/>
        <v>1098</v>
      </c>
      <c r="S78" s="50">
        <f t="shared" si="10"/>
        <v>0</v>
      </c>
    </row>
    <row r="79" spans="1:19" ht="12.75" customHeight="1" x14ac:dyDescent="0.2">
      <c r="A79" s="5"/>
      <c r="B79" s="34">
        <v>7</v>
      </c>
      <c r="C79" s="1" t="s">
        <v>38</v>
      </c>
      <c r="D79" s="1"/>
      <c r="E79" s="31">
        <f t="shared" si="8"/>
        <v>9953571.3100000005</v>
      </c>
      <c r="G79" s="50">
        <v>9368750.3000000007</v>
      </c>
      <c r="H79" s="49"/>
      <c r="I79" s="50">
        <v>405360.83</v>
      </c>
      <c r="J79" s="49"/>
      <c r="K79" s="50">
        <v>179460.18</v>
      </c>
      <c r="L79" s="49"/>
      <c r="M79" s="50">
        <v>7372369.2000000002</v>
      </c>
      <c r="N79" s="50"/>
      <c r="O79" s="50">
        <v>3405338.87</v>
      </c>
      <c r="P79" s="49"/>
      <c r="Q79" s="50">
        <v>824136.76</v>
      </c>
      <c r="R79" s="47">
        <f t="shared" si="9"/>
        <v>-1648273.5199999998</v>
      </c>
      <c r="S79" s="50">
        <f t="shared" si="10"/>
        <v>0</v>
      </c>
    </row>
    <row r="80" spans="1:19" ht="12.75" customHeight="1" x14ac:dyDescent="0.2">
      <c r="A80" s="5"/>
      <c r="B80" s="34">
        <v>8</v>
      </c>
      <c r="C80" s="1" t="s">
        <v>39</v>
      </c>
      <c r="D80" s="1"/>
      <c r="E80" s="31">
        <f t="shared" si="8"/>
        <v>2434941.02</v>
      </c>
      <c r="G80" s="50">
        <v>2411982.34</v>
      </c>
      <c r="H80" s="49"/>
      <c r="I80" s="50">
        <v>12913.48</v>
      </c>
      <c r="J80" s="49"/>
      <c r="K80" s="50">
        <v>10045.200000000001</v>
      </c>
      <c r="L80" s="49"/>
      <c r="M80" s="50">
        <v>1696208.14</v>
      </c>
      <c r="N80" s="50"/>
      <c r="O80" s="50">
        <v>738572.88</v>
      </c>
      <c r="P80" s="49"/>
      <c r="Q80" s="50">
        <v>-160</v>
      </c>
      <c r="R80" s="47">
        <f t="shared" si="9"/>
        <v>320.00000000011642</v>
      </c>
      <c r="S80" s="50">
        <f t="shared" si="10"/>
        <v>1.1641532182693481E-10</v>
      </c>
    </row>
    <row r="81" spans="1:19" ht="12.75" customHeight="1" x14ac:dyDescent="0.2">
      <c r="A81" s="5"/>
      <c r="B81" s="34">
        <v>9</v>
      </c>
      <c r="C81" s="1" t="s">
        <v>40</v>
      </c>
      <c r="D81" s="1"/>
      <c r="E81" s="31">
        <f t="shared" si="8"/>
        <v>1589553.9500000002</v>
      </c>
      <c r="G81" s="50">
        <v>1549814.53</v>
      </c>
      <c r="H81" s="49"/>
      <c r="I81" s="50">
        <v>6246.55</v>
      </c>
      <c r="J81" s="49"/>
      <c r="K81" s="50">
        <v>33492.870000000003</v>
      </c>
      <c r="L81" s="49"/>
      <c r="M81" s="50">
        <v>1037767.11</v>
      </c>
      <c r="N81" s="50"/>
      <c r="O81" s="50">
        <v>551786.84</v>
      </c>
      <c r="P81" s="49"/>
      <c r="Q81" s="50"/>
      <c r="R81" s="47">
        <f t="shared" si="9"/>
        <v>2.3283064365386963E-10</v>
      </c>
      <c r="S81" s="50">
        <f t="shared" si="10"/>
        <v>2.3283064365386963E-10</v>
      </c>
    </row>
    <row r="82" spans="1:19" ht="12.75" customHeight="1" x14ac:dyDescent="0.2">
      <c r="A82" s="5"/>
      <c r="B82" s="34">
        <v>10</v>
      </c>
      <c r="C82" s="1" t="s">
        <v>253</v>
      </c>
      <c r="D82" s="1"/>
      <c r="E82" s="31">
        <f t="shared" si="8"/>
        <v>4435463.99</v>
      </c>
      <c r="G82" s="50">
        <v>4363703.9400000004</v>
      </c>
      <c r="H82" s="49"/>
      <c r="I82" s="50">
        <v>16986.27</v>
      </c>
      <c r="J82" s="49"/>
      <c r="K82" s="50">
        <v>54773.78</v>
      </c>
      <c r="L82" s="49"/>
      <c r="M82" s="50">
        <v>3236473.7</v>
      </c>
      <c r="N82" s="50"/>
      <c r="O82" s="50">
        <v>1198792.29</v>
      </c>
      <c r="P82" s="49"/>
      <c r="Q82" s="50">
        <v>-198</v>
      </c>
      <c r="R82" s="47">
        <f t="shared" si="9"/>
        <v>396</v>
      </c>
      <c r="S82" s="50">
        <f t="shared" si="10"/>
        <v>0</v>
      </c>
    </row>
    <row r="83" spans="1:19" ht="12.75" customHeight="1" x14ac:dyDescent="0.2">
      <c r="A83" s="5"/>
      <c r="B83" s="34">
        <v>11</v>
      </c>
      <c r="C83" s="1" t="s">
        <v>41</v>
      </c>
      <c r="D83" s="1"/>
      <c r="E83" s="31">
        <f t="shared" si="8"/>
        <v>4889053.13</v>
      </c>
      <c r="G83" s="50">
        <v>4537087.66</v>
      </c>
      <c r="H83" s="49"/>
      <c r="I83" s="50">
        <v>169218</v>
      </c>
      <c r="J83" s="49"/>
      <c r="K83" s="50">
        <v>182747.47</v>
      </c>
      <c r="L83" s="49"/>
      <c r="M83" s="50">
        <v>3200769.26</v>
      </c>
      <c r="N83" s="50"/>
      <c r="O83" s="50">
        <v>1686271.63</v>
      </c>
      <c r="P83" s="49"/>
      <c r="Q83" s="50">
        <v>-2012.24</v>
      </c>
      <c r="R83" s="47">
        <f t="shared" si="9"/>
        <v>4024.4800000002233</v>
      </c>
      <c r="S83" s="50">
        <f t="shared" si="10"/>
        <v>2.2350832296069711E-10</v>
      </c>
    </row>
    <row r="84" spans="1:19" ht="12.75" customHeight="1" x14ac:dyDescent="0.2">
      <c r="A84" s="5"/>
      <c r="B84" s="34">
        <v>12</v>
      </c>
      <c r="C84" s="1" t="s">
        <v>42</v>
      </c>
      <c r="D84" s="1"/>
      <c r="E84" s="31">
        <f t="shared" si="8"/>
        <v>3142719.5200000005</v>
      </c>
      <c r="G84" s="50">
        <v>3021471.18</v>
      </c>
      <c r="H84" s="49"/>
      <c r="I84" s="50">
        <v>77607.64</v>
      </c>
      <c r="J84" s="49"/>
      <c r="K84" s="50">
        <v>43640.7</v>
      </c>
      <c r="L84" s="49"/>
      <c r="M84" s="50">
        <v>2170953.1800000002</v>
      </c>
      <c r="N84" s="50"/>
      <c r="O84" s="50">
        <v>971678.34</v>
      </c>
      <c r="P84" s="49"/>
      <c r="Q84" s="50">
        <v>-88</v>
      </c>
      <c r="R84" s="47">
        <f t="shared" si="9"/>
        <v>176.00000000034925</v>
      </c>
      <c r="S84" s="50">
        <f t="shared" si="10"/>
        <v>3.4924596548080444E-10</v>
      </c>
    </row>
    <row r="85" spans="1:19" ht="12.75" customHeight="1" x14ac:dyDescent="0.2">
      <c r="A85" s="5"/>
      <c r="B85" s="34">
        <v>13</v>
      </c>
      <c r="C85" s="1" t="s">
        <v>43</v>
      </c>
      <c r="D85" s="1"/>
      <c r="E85" s="31">
        <f t="shared" si="8"/>
        <v>8808717.6000000015</v>
      </c>
      <c r="G85" s="50">
        <v>8584096.7599999998</v>
      </c>
      <c r="H85" s="49"/>
      <c r="I85" s="50">
        <v>107869.71</v>
      </c>
      <c r="J85" s="49"/>
      <c r="K85" s="50">
        <v>116751.13</v>
      </c>
      <c r="L85" s="49"/>
      <c r="M85" s="50">
        <v>6490350.4800000004</v>
      </c>
      <c r="N85" s="50"/>
      <c r="O85" s="50">
        <v>2317705.12</v>
      </c>
      <c r="P85" s="49"/>
      <c r="Q85" s="50">
        <v>-662</v>
      </c>
      <c r="R85" s="47">
        <f t="shared" si="9"/>
        <v>1324.0000000009313</v>
      </c>
      <c r="S85" s="50">
        <f t="shared" si="10"/>
        <v>9.3132257461547852E-10</v>
      </c>
    </row>
    <row r="86" spans="1:19" ht="12.75" customHeight="1" x14ac:dyDescent="0.2">
      <c r="A86" s="5"/>
      <c r="B86" s="34">
        <v>14</v>
      </c>
      <c r="C86" s="1" t="s">
        <v>44</v>
      </c>
      <c r="D86" s="1"/>
      <c r="E86" s="35">
        <f t="shared" si="8"/>
        <v>4849166.1999999993</v>
      </c>
      <c r="G86" s="50">
        <v>4705879.18</v>
      </c>
      <c r="H86" s="49"/>
      <c r="I86" s="50">
        <v>30149.97</v>
      </c>
      <c r="J86" s="49"/>
      <c r="K86" s="50">
        <v>113137.05</v>
      </c>
      <c r="L86" s="49"/>
      <c r="M86" s="50">
        <v>3556879.35</v>
      </c>
      <c r="N86" s="50"/>
      <c r="O86" s="50">
        <v>1292214.8500000001</v>
      </c>
      <c r="P86" s="49"/>
      <c r="Q86" s="50">
        <v>-72</v>
      </c>
      <c r="R86" s="47">
        <f t="shared" si="9"/>
        <v>143.99999999906868</v>
      </c>
      <c r="S86" s="50">
        <f t="shared" si="10"/>
        <v>-9.3132257461547852E-10</v>
      </c>
    </row>
    <row r="87" spans="1:19" ht="12.75" customHeight="1" x14ac:dyDescent="0.2">
      <c r="A87" s="5"/>
      <c r="B87" s="34">
        <v>15</v>
      </c>
      <c r="C87" s="1" t="s">
        <v>45</v>
      </c>
      <c r="D87" s="1"/>
      <c r="E87" s="31">
        <f t="shared" si="8"/>
        <v>2380586.92</v>
      </c>
      <c r="G87" s="50">
        <v>2254256.5</v>
      </c>
      <c r="H87" s="49"/>
      <c r="I87" s="50">
        <v>5957.82</v>
      </c>
      <c r="J87" s="49"/>
      <c r="K87" s="50">
        <v>120372.6</v>
      </c>
      <c r="L87" s="49"/>
      <c r="M87" s="50">
        <v>1612688.36</v>
      </c>
      <c r="N87" s="50"/>
      <c r="O87" s="50">
        <v>767520.56</v>
      </c>
      <c r="P87" s="49"/>
      <c r="Q87" s="50">
        <v>-378</v>
      </c>
      <c r="R87" s="47">
        <f t="shared" si="9"/>
        <v>755.99999999976717</v>
      </c>
      <c r="S87" s="50">
        <f t="shared" si="10"/>
        <v>-2.3283064365386963E-10</v>
      </c>
    </row>
    <row r="88" spans="1:19" ht="12.75" customHeight="1" x14ac:dyDescent="0.2">
      <c r="A88" s="5"/>
      <c r="B88" s="34">
        <v>16</v>
      </c>
      <c r="C88" s="1" t="s">
        <v>46</v>
      </c>
      <c r="D88" s="1"/>
      <c r="E88" s="31">
        <f t="shared" si="8"/>
        <v>3630718.42</v>
      </c>
      <c r="G88" s="50">
        <v>3456609.92</v>
      </c>
      <c r="H88" s="49"/>
      <c r="I88" s="50">
        <v>68996.66</v>
      </c>
      <c r="J88" s="49"/>
      <c r="K88" s="50">
        <v>105111.84</v>
      </c>
      <c r="L88" s="49"/>
      <c r="M88" s="50">
        <v>2511710.42</v>
      </c>
      <c r="N88" s="50"/>
      <c r="O88" s="50">
        <v>1118301.5</v>
      </c>
      <c r="P88" s="49"/>
      <c r="Q88" s="50">
        <v>-706.5</v>
      </c>
      <c r="R88" s="47">
        <f t="shared" si="9"/>
        <v>1413</v>
      </c>
      <c r="S88" s="50">
        <f t="shared" si="10"/>
        <v>0</v>
      </c>
    </row>
    <row r="89" spans="1:19" ht="12.75" customHeight="1" x14ac:dyDescent="0.2">
      <c r="A89" s="5"/>
      <c r="B89" s="34">
        <v>17</v>
      </c>
      <c r="C89" s="1" t="s">
        <v>47</v>
      </c>
      <c r="D89" s="1"/>
      <c r="E89" s="31">
        <f t="shared" si="8"/>
        <v>2783416.54</v>
      </c>
      <c r="G89" s="50">
        <v>2776413.03</v>
      </c>
      <c r="H89" s="49"/>
      <c r="I89" s="50">
        <v>6528.52</v>
      </c>
      <c r="J89" s="49"/>
      <c r="K89" s="50">
        <v>474.99</v>
      </c>
      <c r="L89" s="49"/>
      <c r="M89" s="50">
        <v>1998427.56</v>
      </c>
      <c r="N89" s="50"/>
      <c r="O89" s="50">
        <v>784898.98</v>
      </c>
      <c r="P89" s="49"/>
      <c r="Q89" s="50">
        <v>-90</v>
      </c>
      <c r="R89" s="47">
        <f t="shared" si="9"/>
        <v>180</v>
      </c>
      <c r="S89" s="50">
        <f t="shared" si="10"/>
        <v>0</v>
      </c>
    </row>
    <row r="90" spans="1:19" ht="12.75" customHeight="1" x14ac:dyDescent="0.2">
      <c r="A90" s="5"/>
      <c r="B90" s="34">
        <v>18</v>
      </c>
      <c r="C90" s="1" t="s">
        <v>48</v>
      </c>
      <c r="D90" s="1"/>
      <c r="E90" s="31">
        <f t="shared" si="8"/>
        <v>6642990.4400000004</v>
      </c>
      <c r="G90" s="50">
        <v>5986752.2300000004</v>
      </c>
      <c r="H90" s="49"/>
      <c r="I90" s="50">
        <v>418911.3</v>
      </c>
      <c r="J90" s="49"/>
      <c r="K90" s="50">
        <v>237326.91</v>
      </c>
      <c r="L90" s="49"/>
      <c r="M90" s="50">
        <v>4161242.34</v>
      </c>
      <c r="N90" s="50"/>
      <c r="O90" s="50">
        <v>2477124.85</v>
      </c>
      <c r="P90" s="49"/>
      <c r="Q90" s="50">
        <v>-4623.25</v>
      </c>
      <c r="R90" s="47">
        <f t="shared" si="9"/>
        <v>9246.5000000004657</v>
      </c>
      <c r="S90" s="50">
        <f t="shared" si="10"/>
        <v>4.6566128730773926E-10</v>
      </c>
    </row>
    <row r="91" spans="1:19" ht="12.75" customHeight="1" x14ac:dyDescent="0.2">
      <c r="A91" s="5"/>
      <c r="B91" s="34">
        <v>19</v>
      </c>
      <c r="C91" s="1" t="s">
        <v>49</v>
      </c>
      <c r="D91" s="1"/>
      <c r="E91" s="31">
        <f t="shared" si="8"/>
        <v>5355942.25</v>
      </c>
      <c r="G91" s="50">
        <v>5096335.41</v>
      </c>
      <c r="H91" s="49"/>
      <c r="I91" s="50">
        <v>216905.64</v>
      </c>
      <c r="J91" s="49"/>
      <c r="K91" s="50">
        <v>42701.2</v>
      </c>
      <c r="L91" s="49"/>
      <c r="M91" s="50">
        <v>3668441.58</v>
      </c>
      <c r="N91" s="50"/>
      <c r="O91" s="50">
        <v>1789448.24</v>
      </c>
      <c r="P91" s="49"/>
      <c r="Q91" s="50">
        <v>101947.57</v>
      </c>
      <c r="R91" s="47">
        <f t="shared" si="9"/>
        <v>-203895.14000000007</v>
      </c>
      <c r="S91" s="50">
        <f t="shared" si="10"/>
        <v>0</v>
      </c>
    </row>
    <row r="92" spans="1:19" ht="12.75" customHeight="1" x14ac:dyDescent="0.2">
      <c r="A92" s="5"/>
      <c r="B92" s="34">
        <v>21</v>
      </c>
      <c r="C92" s="5" t="s">
        <v>240</v>
      </c>
      <c r="D92" s="1"/>
      <c r="E92" s="31">
        <f t="shared" ref="E92:E111" si="11">SUM(G92:K92)</f>
        <v>1809703.84</v>
      </c>
      <c r="G92" s="50">
        <v>1756186.07</v>
      </c>
      <c r="H92" s="49"/>
      <c r="I92" s="50">
        <v>15982.58</v>
      </c>
      <c r="J92" s="49"/>
      <c r="K92" s="50">
        <v>37535.19</v>
      </c>
      <c r="L92" s="49"/>
      <c r="M92" s="50">
        <v>1270455.98</v>
      </c>
      <c r="N92" s="50"/>
      <c r="O92" s="50">
        <v>539101.86</v>
      </c>
      <c r="P92" s="49"/>
      <c r="Q92" s="50">
        <v>-146</v>
      </c>
      <c r="R92" s="47">
        <f t="shared" si="9"/>
        <v>292.00000000011642</v>
      </c>
      <c r="S92" s="50">
        <f t="shared" si="10"/>
        <v>1.1641532182693481E-10</v>
      </c>
    </row>
    <row r="93" spans="1:19" ht="12.75" customHeight="1" x14ac:dyDescent="0.2">
      <c r="A93" s="5"/>
      <c r="B93" s="34">
        <v>22</v>
      </c>
      <c r="C93" s="1" t="s">
        <v>52</v>
      </c>
      <c r="D93" s="1"/>
      <c r="E93" s="31">
        <f t="shared" si="11"/>
        <v>6785797.5999999996</v>
      </c>
      <c r="G93" s="50">
        <v>6715124.4699999997</v>
      </c>
      <c r="H93" s="49"/>
      <c r="I93" s="50">
        <v>25865.09</v>
      </c>
      <c r="J93" s="49"/>
      <c r="K93" s="50">
        <v>44808.04</v>
      </c>
      <c r="L93" s="49"/>
      <c r="M93" s="50">
        <v>5085836.46</v>
      </c>
      <c r="N93" s="50"/>
      <c r="O93" s="50">
        <v>1699658.14</v>
      </c>
      <c r="P93" s="49"/>
      <c r="Q93" s="50">
        <v>-303</v>
      </c>
      <c r="R93" s="47">
        <f t="shared" si="9"/>
        <v>605.99999999976717</v>
      </c>
      <c r="S93" s="50">
        <f t="shared" si="10"/>
        <v>-2.3283064365386963E-10</v>
      </c>
    </row>
    <row r="94" spans="1:19" ht="12.75" customHeight="1" x14ac:dyDescent="0.2">
      <c r="A94" s="5"/>
      <c r="B94" s="34">
        <v>23</v>
      </c>
      <c r="C94" s="1" t="s">
        <v>53</v>
      </c>
      <c r="D94" s="1"/>
      <c r="E94" s="31">
        <f t="shared" si="11"/>
        <v>1951007.38</v>
      </c>
      <c r="G94" s="50">
        <v>507917.63</v>
      </c>
      <c r="H94" s="49"/>
      <c r="I94" s="50">
        <v>51718.01</v>
      </c>
      <c r="J94" s="49"/>
      <c r="K94" s="50">
        <v>1391371.74</v>
      </c>
      <c r="L94" s="49"/>
      <c r="M94" s="50">
        <v>1063263.6399999999</v>
      </c>
      <c r="N94" s="50"/>
      <c r="O94" s="50">
        <v>885393.74</v>
      </c>
      <c r="P94" s="49"/>
      <c r="Q94" s="50">
        <v>-2350</v>
      </c>
      <c r="R94" s="47">
        <f t="shared" si="9"/>
        <v>4700</v>
      </c>
      <c r="S94" s="50">
        <f t="shared" si="10"/>
        <v>0</v>
      </c>
    </row>
    <row r="95" spans="1:19" ht="12.75" customHeight="1" x14ac:dyDescent="0.2">
      <c r="A95" s="5"/>
      <c r="B95" s="34">
        <v>24</v>
      </c>
      <c r="C95" s="1" t="s">
        <v>54</v>
      </c>
      <c r="D95" s="1"/>
      <c r="E95" s="31">
        <f t="shared" si="11"/>
        <v>0</v>
      </c>
      <c r="G95" s="50"/>
      <c r="H95" s="49"/>
      <c r="I95" s="50"/>
      <c r="J95" s="49"/>
      <c r="K95" s="50"/>
      <c r="L95" s="49"/>
      <c r="M95" s="50"/>
      <c r="N95" s="50"/>
      <c r="O95" s="50"/>
      <c r="P95" s="49"/>
      <c r="Q95" s="50"/>
      <c r="R95" s="47">
        <f t="shared" si="9"/>
        <v>0</v>
      </c>
      <c r="S95" s="50">
        <f t="shared" si="10"/>
        <v>0</v>
      </c>
    </row>
    <row r="96" spans="1:19" ht="12.75" customHeight="1" x14ac:dyDescent="0.2">
      <c r="A96" s="5"/>
      <c r="B96" s="34">
        <v>25</v>
      </c>
      <c r="C96" s="1" t="s">
        <v>55</v>
      </c>
      <c r="D96" s="1"/>
      <c r="E96" s="31">
        <f t="shared" si="11"/>
        <v>2363689.8499999996</v>
      </c>
      <c r="G96" s="50">
        <v>2344620.11</v>
      </c>
      <c r="H96" s="49"/>
      <c r="I96" s="50">
        <v>4432.55</v>
      </c>
      <c r="J96" s="49"/>
      <c r="K96" s="50">
        <v>14637.19</v>
      </c>
      <c r="L96" s="49"/>
      <c r="M96" s="50">
        <v>1667644.25</v>
      </c>
      <c r="N96" s="50"/>
      <c r="O96" s="50">
        <v>696045.6</v>
      </c>
      <c r="P96" s="49"/>
      <c r="Q96" s="50"/>
      <c r="R96" s="47">
        <f t="shared" si="9"/>
        <v>-3.4924596548080444E-10</v>
      </c>
      <c r="S96" s="50">
        <f t="shared" si="10"/>
        <v>-3.4924596548080444E-10</v>
      </c>
    </row>
    <row r="97" spans="1:19" ht="12.75" customHeight="1" x14ac:dyDescent="0.2">
      <c r="A97" s="5"/>
      <c r="B97" s="34">
        <v>26</v>
      </c>
      <c r="C97" s="1" t="s">
        <v>56</v>
      </c>
      <c r="D97" s="1"/>
      <c r="E97" s="31">
        <f t="shared" si="11"/>
        <v>7725070.2199999997</v>
      </c>
      <c r="G97" s="50">
        <v>7363672.3499999996</v>
      </c>
      <c r="H97" s="49"/>
      <c r="I97" s="50">
        <v>80481.87</v>
      </c>
      <c r="J97" s="49"/>
      <c r="K97" s="50">
        <v>280916</v>
      </c>
      <c r="L97" s="49"/>
      <c r="M97" s="50">
        <v>5830361.25</v>
      </c>
      <c r="N97" s="50"/>
      <c r="O97" s="50">
        <v>1894484.97</v>
      </c>
      <c r="P97" s="49"/>
      <c r="Q97" s="50">
        <v>-224</v>
      </c>
      <c r="R97" s="47">
        <f t="shared" si="9"/>
        <v>447.99999999976717</v>
      </c>
      <c r="S97" s="50">
        <f t="shared" si="10"/>
        <v>-2.3283064365386963E-10</v>
      </c>
    </row>
    <row r="98" spans="1:19" ht="12.75" customHeight="1" x14ac:dyDescent="0.2">
      <c r="A98" s="5"/>
      <c r="B98" s="34">
        <v>27</v>
      </c>
      <c r="C98" s="1" t="s">
        <v>57</v>
      </c>
      <c r="D98" s="1"/>
      <c r="E98" s="31">
        <f t="shared" si="11"/>
        <v>198802.66</v>
      </c>
      <c r="G98" s="50">
        <v>108247.47</v>
      </c>
      <c r="H98" s="49"/>
      <c r="I98" s="50"/>
      <c r="J98" s="49"/>
      <c r="K98" s="50">
        <v>90555.19</v>
      </c>
      <c r="L98" s="49"/>
      <c r="M98" s="50">
        <v>52729.919999999998</v>
      </c>
      <c r="N98" s="50"/>
      <c r="O98" s="50">
        <v>145672.74</v>
      </c>
      <c r="P98" s="49"/>
      <c r="Q98" s="50">
        <v>-400</v>
      </c>
      <c r="R98" s="47">
        <f t="shared" si="9"/>
        <v>800</v>
      </c>
      <c r="S98" s="50">
        <f t="shared" si="10"/>
        <v>0</v>
      </c>
    </row>
    <row r="99" spans="1:19" ht="12.75" customHeight="1" x14ac:dyDescent="0.2">
      <c r="A99" s="5"/>
      <c r="B99" s="34">
        <v>5</v>
      </c>
      <c r="C99" s="1" t="s">
        <v>254</v>
      </c>
      <c r="D99" s="1"/>
      <c r="E99" s="31">
        <f>SUM(G99:K99)</f>
        <v>218448.25</v>
      </c>
      <c r="G99" s="50">
        <v>135420.93</v>
      </c>
      <c r="H99" s="49"/>
      <c r="I99" s="50">
        <v>81983.320000000007</v>
      </c>
      <c r="J99" s="49"/>
      <c r="K99" s="50">
        <v>1044</v>
      </c>
      <c r="L99" s="49"/>
      <c r="M99" s="50">
        <v>107960.7</v>
      </c>
      <c r="N99" s="50"/>
      <c r="O99" s="50">
        <v>227210.12</v>
      </c>
      <c r="P99" s="49"/>
      <c r="Q99" s="50">
        <v>116722.57</v>
      </c>
      <c r="R99" s="47">
        <f>E99-M99-O99-Q99</f>
        <v>-233445.14</v>
      </c>
      <c r="S99" s="50">
        <f t="shared" si="10"/>
        <v>0</v>
      </c>
    </row>
    <row r="100" spans="1:19" ht="12.75" customHeight="1" x14ac:dyDescent="0.2">
      <c r="A100" s="5"/>
      <c r="B100" s="34">
        <v>28</v>
      </c>
      <c r="C100" s="1" t="s">
        <v>58</v>
      </c>
      <c r="D100" s="1"/>
      <c r="E100" s="31">
        <f t="shared" si="11"/>
        <v>6661845.0700000003</v>
      </c>
      <c r="G100" s="50">
        <v>6543763.3399999999</v>
      </c>
      <c r="H100" s="49"/>
      <c r="I100" s="50">
        <v>16614.87</v>
      </c>
      <c r="J100" s="49"/>
      <c r="K100" s="50">
        <v>101466.86</v>
      </c>
      <c r="L100" s="49"/>
      <c r="M100" s="50">
        <v>4653906.66</v>
      </c>
      <c r="N100" s="50"/>
      <c r="O100" s="50">
        <v>2006284.56</v>
      </c>
      <c r="P100" s="49"/>
      <c r="Q100" s="50">
        <v>-1653.85</v>
      </c>
      <c r="R100" s="47">
        <f t="shared" si="9"/>
        <v>3307.700000000093</v>
      </c>
      <c r="S100" s="50">
        <f t="shared" si="10"/>
        <v>9.3223206931725144E-11</v>
      </c>
    </row>
    <row r="101" spans="1:19" ht="12.75" customHeight="1" x14ac:dyDescent="0.2">
      <c r="A101" s="5"/>
      <c r="B101" s="34">
        <v>29</v>
      </c>
      <c r="C101" s="1" t="s">
        <v>59</v>
      </c>
      <c r="D101" s="1"/>
      <c r="E101" s="31">
        <f t="shared" si="11"/>
        <v>2615002.15</v>
      </c>
      <c r="G101" s="50">
        <v>2608430.36</v>
      </c>
      <c r="H101" s="49"/>
      <c r="I101" s="50">
        <v>1627.35</v>
      </c>
      <c r="J101" s="49"/>
      <c r="K101" s="50">
        <v>4944.4399999999996</v>
      </c>
      <c r="L101" s="49"/>
      <c r="M101" s="50">
        <v>1780722.85</v>
      </c>
      <c r="N101" s="50"/>
      <c r="O101" s="50">
        <v>834263.3</v>
      </c>
      <c r="P101" s="49"/>
      <c r="Q101" s="50">
        <v>-16</v>
      </c>
      <c r="R101" s="47">
        <f t="shared" si="9"/>
        <v>31.999999999767169</v>
      </c>
      <c r="S101" s="50">
        <f t="shared" si="10"/>
        <v>-2.3283064365386963E-10</v>
      </c>
    </row>
    <row r="102" spans="1:19" ht="12.75" customHeight="1" x14ac:dyDescent="0.2">
      <c r="A102" s="5"/>
      <c r="B102" s="34">
        <v>30</v>
      </c>
      <c r="C102" s="1" t="s">
        <v>60</v>
      </c>
      <c r="D102" s="1"/>
      <c r="E102" s="31">
        <f t="shared" si="11"/>
        <v>11576923.5</v>
      </c>
      <c r="G102" s="50">
        <v>10734444.949999999</v>
      </c>
      <c r="H102" s="49"/>
      <c r="I102" s="50">
        <v>335826.22</v>
      </c>
      <c r="J102" s="49"/>
      <c r="K102" s="50">
        <v>506652.33</v>
      </c>
      <c r="L102" s="49"/>
      <c r="M102" s="50">
        <v>8236651.5099999998</v>
      </c>
      <c r="N102" s="50"/>
      <c r="O102" s="50">
        <v>4165294.65</v>
      </c>
      <c r="P102" s="49"/>
      <c r="Q102" s="50">
        <v>825022.66</v>
      </c>
      <c r="R102" s="47">
        <f t="shared" si="9"/>
        <v>-1650045.3199999998</v>
      </c>
      <c r="S102" s="50">
        <f t="shared" si="10"/>
        <v>0</v>
      </c>
    </row>
    <row r="103" spans="1:19" ht="12.75" customHeight="1" x14ac:dyDescent="0.2">
      <c r="A103" s="5"/>
      <c r="B103" s="34">
        <v>31</v>
      </c>
      <c r="C103" s="1" t="s">
        <v>61</v>
      </c>
      <c r="D103" s="1"/>
      <c r="E103" s="31">
        <f t="shared" si="11"/>
        <v>3844651.19</v>
      </c>
      <c r="G103" s="50">
        <v>3826569.94</v>
      </c>
      <c r="H103" s="49"/>
      <c r="I103" s="50">
        <v>7489.58</v>
      </c>
      <c r="J103" s="49"/>
      <c r="K103" s="50">
        <v>10591.67</v>
      </c>
      <c r="L103" s="49"/>
      <c r="M103" s="50">
        <v>2863771.83</v>
      </c>
      <c r="N103" s="50"/>
      <c r="O103" s="50">
        <v>980699.36</v>
      </c>
      <c r="P103" s="49"/>
      <c r="Q103" s="50">
        <v>-180</v>
      </c>
      <c r="R103" s="47">
        <f t="shared" si="9"/>
        <v>359.99999999988358</v>
      </c>
      <c r="S103" s="50">
        <f t="shared" si="10"/>
        <v>-1.1641532182693481E-10</v>
      </c>
    </row>
    <row r="104" spans="1:19" ht="12.75" customHeight="1" x14ac:dyDescent="0.2">
      <c r="A104" s="5"/>
      <c r="B104" s="34">
        <v>32</v>
      </c>
      <c r="C104" s="1" t="s">
        <v>62</v>
      </c>
      <c r="D104" s="1"/>
      <c r="E104" s="31">
        <f t="shared" si="11"/>
        <v>7671734.9299999997</v>
      </c>
      <c r="G104" s="50">
        <v>7434450.5499999998</v>
      </c>
      <c r="H104" s="49"/>
      <c r="I104" s="50">
        <v>201855.05</v>
      </c>
      <c r="J104" s="49"/>
      <c r="K104" s="50">
        <v>35429.33</v>
      </c>
      <c r="L104" s="49"/>
      <c r="M104" s="50">
        <v>5523887.2999999998</v>
      </c>
      <c r="N104" s="50"/>
      <c r="O104" s="50">
        <v>2328598.5299999998</v>
      </c>
      <c r="P104" s="49"/>
      <c r="Q104" s="50">
        <v>180750.9</v>
      </c>
      <c r="R104" s="47">
        <f t="shared" si="9"/>
        <v>-361501.79999999993</v>
      </c>
      <c r="S104" s="50">
        <f t="shared" si="10"/>
        <v>0</v>
      </c>
    </row>
    <row r="105" spans="1:19" ht="12.75" customHeight="1" x14ac:dyDescent="0.2">
      <c r="A105" s="5"/>
      <c r="B105" s="34">
        <v>33</v>
      </c>
      <c r="C105" s="1" t="s">
        <v>63</v>
      </c>
      <c r="D105" s="1"/>
      <c r="E105" s="31">
        <f t="shared" si="11"/>
        <v>4466991.55</v>
      </c>
      <c r="G105" s="50">
        <v>4180313.13</v>
      </c>
      <c r="H105" s="49"/>
      <c r="I105" s="50">
        <v>5989.51</v>
      </c>
      <c r="J105" s="49"/>
      <c r="K105" s="50">
        <v>280688.90999999997</v>
      </c>
      <c r="L105" s="49"/>
      <c r="M105" s="50">
        <v>3071385.04</v>
      </c>
      <c r="N105" s="50"/>
      <c r="O105" s="50">
        <v>1394133.51</v>
      </c>
      <c r="P105" s="49"/>
      <c r="Q105" s="50">
        <v>-1473</v>
      </c>
      <c r="R105" s="47">
        <f t="shared" si="9"/>
        <v>2945.9999999997672</v>
      </c>
      <c r="S105" s="50">
        <f t="shared" si="10"/>
        <v>-2.3283064365386963E-10</v>
      </c>
    </row>
    <row r="106" spans="1:19" ht="12.75" customHeight="1" x14ac:dyDescent="0.2">
      <c r="A106" s="5"/>
      <c r="B106" s="34">
        <v>34</v>
      </c>
      <c r="C106" s="1" t="s">
        <v>64</v>
      </c>
      <c r="D106" s="1"/>
      <c r="E106" s="31">
        <f t="shared" si="11"/>
        <v>9544953.5099999998</v>
      </c>
      <c r="G106" s="50">
        <v>8967165.3399999999</v>
      </c>
      <c r="H106" s="49"/>
      <c r="I106" s="50">
        <v>58134.15</v>
      </c>
      <c r="J106" s="49"/>
      <c r="K106" s="50">
        <v>519654.02</v>
      </c>
      <c r="L106" s="49"/>
      <c r="M106" s="50">
        <v>6947174.8399999999</v>
      </c>
      <c r="N106" s="50"/>
      <c r="O106" s="50">
        <v>2596850.67</v>
      </c>
      <c r="P106" s="49"/>
      <c r="Q106" s="50">
        <v>-928</v>
      </c>
      <c r="R106" s="47">
        <f t="shared" si="9"/>
        <v>1856</v>
      </c>
      <c r="S106" s="50">
        <f t="shared" si="10"/>
        <v>0</v>
      </c>
    </row>
    <row r="107" spans="1:19" ht="12.75" customHeight="1" x14ac:dyDescent="0.2">
      <c r="A107" s="5"/>
      <c r="B107" s="34">
        <v>35</v>
      </c>
      <c r="C107" s="1" t="s">
        <v>65</v>
      </c>
      <c r="D107" s="1"/>
      <c r="E107" s="31">
        <f t="shared" si="11"/>
        <v>3506229.7600000002</v>
      </c>
      <c r="G107" s="50">
        <v>3369224.95</v>
      </c>
      <c r="H107" s="49"/>
      <c r="I107" s="50">
        <v>75126.63</v>
      </c>
      <c r="J107" s="49"/>
      <c r="K107" s="50">
        <v>61878.18</v>
      </c>
      <c r="L107" s="49"/>
      <c r="M107" s="50">
        <v>2417806.61</v>
      </c>
      <c r="N107" s="50"/>
      <c r="O107" s="50">
        <v>1088413.1499999999</v>
      </c>
      <c r="P107" s="49"/>
      <c r="Q107" s="50">
        <v>-10</v>
      </c>
      <c r="R107" s="47">
        <f t="shared" si="9"/>
        <v>20.000000000465661</v>
      </c>
      <c r="S107" s="50">
        <f t="shared" si="10"/>
        <v>4.6566128730773926E-10</v>
      </c>
    </row>
    <row r="108" spans="1:19" ht="12.75" customHeight="1" x14ac:dyDescent="0.2">
      <c r="A108" s="5"/>
      <c r="B108" s="34">
        <v>36</v>
      </c>
      <c r="C108" s="1" t="s">
        <v>255</v>
      </c>
      <c r="D108" s="1"/>
      <c r="E108" s="31">
        <f t="shared" si="11"/>
        <v>521429.13999999996</v>
      </c>
      <c r="G108" s="50">
        <v>503308.23</v>
      </c>
      <c r="H108" s="49"/>
      <c r="I108" s="50">
        <v>18059.73</v>
      </c>
      <c r="J108" s="49"/>
      <c r="K108" s="50">
        <v>61.18</v>
      </c>
      <c r="L108" s="49"/>
      <c r="M108" s="50">
        <v>390755.38</v>
      </c>
      <c r="N108" s="50"/>
      <c r="O108" s="50">
        <v>130001.76</v>
      </c>
      <c r="P108" s="49"/>
      <c r="Q108" s="50">
        <v>-672</v>
      </c>
      <c r="R108" s="47">
        <f t="shared" si="9"/>
        <v>1343.9999999999563</v>
      </c>
      <c r="S108" s="50">
        <f t="shared" si="10"/>
        <v>-4.3655745685100555E-11</v>
      </c>
    </row>
    <row r="109" spans="1:19" ht="12.75" customHeight="1" x14ac:dyDescent="0.2">
      <c r="A109" s="5"/>
      <c r="B109" s="34">
        <v>37</v>
      </c>
      <c r="C109" s="1" t="s">
        <v>66</v>
      </c>
      <c r="D109" s="1"/>
      <c r="E109" s="31">
        <f t="shared" si="11"/>
        <v>3578261.44</v>
      </c>
      <c r="G109" s="50">
        <v>3518987.96</v>
      </c>
      <c r="H109" s="49"/>
      <c r="I109" s="50">
        <v>17130.13</v>
      </c>
      <c r="J109" s="49"/>
      <c r="K109" s="50">
        <v>42143.35</v>
      </c>
      <c r="L109" s="49"/>
      <c r="M109" s="50">
        <v>2691886.26</v>
      </c>
      <c r="N109" s="50"/>
      <c r="O109" s="50">
        <v>886207.18</v>
      </c>
      <c r="P109" s="49"/>
      <c r="Q109" s="50">
        <v>-168</v>
      </c>
      <c r="R109" s="47">
        <f t="shared" si="9"/>
        <v>336.00000000011642</v>
      </c>
      <c r="S109" s="50">
        <f t="shared" si="10"/>
        <v>1.1641532182693481E-10</v>
      </c>
    </row>
    <row r="110" spans="1:19" ht="12.75" customHeight="1" x14ac:dyDescent="0.2">
      <c r="A110" s="5"/>
      <c r="B110" s="34">
        <v>38</v>
      </c>
      <c r="C110" s="1" t="s">
        <v>67</v>
      </c>
      <c r="D110" s="1"/>
      <c r="E110" s="31">
        <f t="shared" si="11"/>
        <v>258.87</v>
      </c>
      <c r="G110" s="50">
        <v>258.87</v>
      </c>
      <c r="H110" s="49"/>
      <c r="I110" s="50"/>
      <c r="J110" s="49"/>
      <c r="K110" s="50"/>
      <c r="L110" s="49"/>
      <c r="M110" s="50"/>
      <c r="N110" s="50"/>
      <c r="O110" s="50">
        <v>258.87</v>
      </c>
      <c r="P110" s="49"/>
      <c r="Q110" s="50"/>
      <c r="R110" s="47">
        <f t="shared" si="9"/>
        <v>0</v>
      </c>
      <c r="S110" s="50">
        <f t="shared" si="10"/>
        <v>0</v>
      </c>
    </row>
    <row r="111" spans="1:19" ht="12.75" customHeight="1" x14ac:dyDescent="0.2">
      <c r="A111" s="5"/>
      <c r="B111" s="34">
        <v>39</v>
      </c>
      <c r="C111" s="1" t="s">
        <v>215</v>
      </c>
      <c r="D111" s="1"/>
      <c r="E111" s="35">
        <f t="shared" si="11"/>
        <v>1879960.21</v>
      </c>
      <c r="G111" s="50">
        <v>1867664.71</v>
      </c>
      <c r="H111" s="49"/>
      <c r="I111" s="50">
        <v>2322.9</v>
      </c>
      <c r="J111" s="49"/>
      <c r="K111" s="50">
        <v>9972.6</v>
      </c>
      <c r="L111" s="49"/>
      <c r="M111" s="50">
        <v>1334499.02</v>
      </c>
      <c r="N111" s="50"/>
      <c r="O111" s="50">
        <v>545461.18999999994</v>
      </c>
      <c r="P111" s="49"/>
      <c r="Q111" s="50"/>
      <c r="R111" s="47">
        <f t="shared" si="9"/>
        <v>0</v>
      </c>
      <c r="S111" s="50">
        <f t="shared" si="10"/>
        <v>0</v>
      </c>
    </row>
    <row r="112" spans="1:19" s="58" customFormat="1" ht="12.75" customHeight="1" x14ac:dyDescent="0.2">
      <c r="A112" s="54"/>
      <c r="B112" s="55">
        <v>40</v>
      </c>
      <c r="C112" s="56" t="s">
        <v>68</v>
      </c>
      <c r="D112" s="57"/>
      <c r="E112" s="47">
        <f>G112+I112+K112</f>
        <v>4143469.83</v>
      </c>
      <c r="F112" s="40"/>
      <c r="G112" s="50">
        <v>4093656.01</v>
      </c>
      <c r="H112" s="49"/>
      <c r="I112" s="50">
        <v>36942.6</v>
      </c>
      <c r="J112" s="49"/>
      <c r="K112" s="50">
        <v>12871.22</v>
      </c>
      <c r="L112" s="49"/>
      <c r="M112" s="50">
        <v>2774100.05</v>
      </c>
      <c r="N112" s="50"/>
      <c r="O112" s="50">
        <v>1369287.78</v>
      </c>
      <c r="P112" s="49"/>
      <c r="Q112" s="50">
        <v>-82</v>
      </c>
      <c r="R112" s="47">
        <f>E112-M112-O112-Q112</f>
        <v>164.00000000023283</v>
      </c>
      <c r="S112" s="50">
        <f t="shared" si="10"/>
        <v>2.3283064365386963E-10</v>
      </c>
    </row>
    <row r="113" spans="1:19" ht="12.75" customHeight="1" x14ac:dyDescent="0.2">
      <c r="A113" s="5"/>
      <c r="B113" s="34">
        <v>40</v>
      </c>
      <c r="C113" s="3" t="s">
        <v>269</v>
      </c>
      <c r="D113" s="4"/>
      <c r="E113" s="52">
        <f>G113+I113+K113</f>
        <v>0</v>
      </c>
      <c r="G113" s="51">
        <v>-86402252.239999995</v>
      </c>
      <c r="H113" s="49"/>
      <c r="I113" s="51">
        <v>86402252.239999995</v>
      </c>
      <c r="J113" s="49"/>
      <c r="K113" s="51"/>
      <c r="L113" s="49"/>
      <c r="M113" s="51"/>
      <c r="N113" s="50"/>
      <c r="O113" s="51"/>
      <c r="P113" s="49"/>
      <c r="Q113" s="51"/>
      <c r="R113" s="47">
        <f>E113-M113-O113-Q113</f>
        <v>0</v>
      </c>
      <c r="S113" s="50">
        <f t="shared" si="10"/>
        <v>0</v>
      </c>
    </row>
    <row r="114" spans="1:19" ht="12.75" customHeight="1" x14ac:dyDescent="0.2">
      <c r="A114" s="5"/>
      <c r="B114" s="34"/>
      <c r="S114" s="26"/>
    </row>
    <row r="115" spans="1:19" ht="12.75" customHeight="1" x14ac:dyDescent="0.2">
      <c r="A115" s="5"/>
      <c r="B115" s="5"/>
      <c r="C115" s="5"/>
      <c r="D115" s="1" t="s">
        <v>2</v>
      </c>
      <c r="E115" s="6">
        <f>G115+I115+K115</f>
        <v>171957999.57999998</v>
      </c>
      <c r="G115" s="6">
        <f>SUM(G73:G113)</f>
        <v>76843890.089999989</v>
      </c>
      <c r="I115" s="6">
        <f>SUM(I73:I113)</f>
        <v>89674978.299999997</v>
      </c>
      <c r="K115" s="6">
        <f>SUM(K73:K113)</f>
        <v>5439131.1899999985</v>
      </c>
      <c r="M115" s="6">
        <f>SUM(M73:M113)</f>
        <v>120761057.08</v>
      </c>
      <c r="O115" s="6">
        <f>SUM(O73:O114)</f>
        <v>53369305.419999994</v>
      </c>
      <c r="Q115" s="6">
        <f>SUM(Q73:Q113)</f>
        <v>2172362.92</v>
      </c>
      <c r="R115" s="47">
        <f>E115-M115-O115-Q115</f>
        <v>-4344725.8400000092</v>
      </c>
      <c r="S115" s="50">
        <f>E115-M115-O115+Q115</f>
        <v>-9.3132257461547852E-9</v>
      </c>
    </row>
    <row r="116" spans="1:19" ht="12.75" customHeight="1" x14ac:dyDescent="0.2">
      <c r="A116" s="34"/>
      <c r="E116" s="70"/>
      <c r="S116" s="26"/>
    </row>
    <row r="117" spans="1:19" ht="12.75" customHeight="1" x14ac:dyDescent="0.2">
      <c r="A117" s="5"/>
      <c r="B117" s="1" t="s">
        <v>14</v>
      </c>
      <c r="G117" s="37"/>
      <c r="H117" s="37"/>
      <c r="I117" s="37"/>
      <c r="J117" s="37"/>
      <c r="K117" s="37"/>
      <c r="L117" s="37"/>
      <c r="M117" s="37"/>
      <c r="N117" s="37"/>
      <c r="O117" s="37"/>
      <c r="S117" s="26"/>
    </row>
    <row r="118" spans="1:19" ht="12.75" customHeight="1" x14ac:dyDescent="0.2">
      <c r="A118" s="5"/>
      <c r="B118" s="5">
        <v>1</v>
      </c>
      <c r="C118" s="1" t="s">
        <v>32</v>
      </c>
      <c r="D118" s="1"/>
      <c r="E118" s="31">
        <f t="shared" ref="E118:E137" si="12">SUM(G118:K118)</f>
        <v>71232.77</v>
      </c>
      <c r="G118" s="50">
        <v>21912.45</v>
      </c>
      <c r="H118" s="49"/>
      <c r="I118" s="50">
        <v>49320.32</v>
      </c>
      <c r="J118" s="49"/>
      <c r="K118" s="50"/>
      <c r="L118" s="49"/>
      <c r="M118" s="50">
        <v>46584.4</v>
      </c>
      <c r="N118" s="50"/>
      <c r="O118" s="50">
        <v>24648.37</v>
      </c>
      <c r="P118" s="49"/>
      <c r="Q118" s="50"/>
      <c r="R118" s="47">
        <f t="shared" ref="R118:R174" si="13">E118-M118-O118-Q118</f>
        <v>3.637978807091713E-12</v>
      </c>
      <c r="S118" s="50">
        <f t="shared" ref="S118:S159" si="14">E118-M118-O118+Q118</f>
        <v>3.637978807091713E-12</v>
      </c>
    </row>
    <row r="119" spans="1:19" ht="12.75" customHeight="1" x14ac:dyDescent="0.2">
      <c r="A119" s="5"/>
      <c r="B119" s="5">
        <v>2</v>
      </c>
      <c r="C119" s="1" t="s">
        <v>33</v>
      </c>
      <c r="D119" s="1"/>
      <c r="E119" s="31">
        <f t="shared" si="12"/>
        <v>11961.06</v>
      </c>
      <c r="G119" s="50">
        <v>11961.06</v>
      </c>
      <c r="H119" s="49"/>
      <c r="I119" s="50"/>
      <c r="J119" s="49"/>
      <c r="K119" s="50"/>
      <c r="L119" s="49"/>
      <c r="M119" s="50"/>
      <c r="N119" s="50"/>
      <c r="O119" s="50">
        <v>11961.06</v>
      </c>
      <c r="P119" s="49"/>
      <c r="Q119" s="50"/>
      <c r="R119" s="47">
        <f t="shared" si="13"/>
        <v>0</v>
      </c>
      <c r="S119" s="50">
        <f t="shared" si="14"/>
        <v>0</v>
      </c>
    </row>
    <row r="120" spans="1:19" ht="12.75" customHeight="1" x14ac:dyDescent="0.2">
      <c r="A120" s="5"/>
      <c r="B120" s="5">
        <v>3</v>
      </c>
      <c r="C120" s="1" t="s">
        <v>69</v>
      </c>
      <c r="D120" s="1"/>
      <c r="E120" s="31">
        <f t="shared" si="12"/>
        <v>18794.689999999999</v>
      </c>
      <c r="G120" s="50">
        <v>1500</v>
      </c>
      <c r="H120" s="49"/>
      <c r="I120" s="50">
        <v>17288.93</v>
      </c>
      <c r="J120" s="49"/>
      <c r="K120" s="50">
        <v>5.76</v>
      </c>
      <c r="L120" s="49"/>
      <c r="M120" s="50"/>
      <c r="N120" s="50"/>
      <c r="O120" s="50">
        <v>18794.689999999999</v>
      </c>
      <c r="P120" s="49"/>
      <c r="Q120" s="50"/>
      <c r="R120" s="47">
        <f t="shared" si="13"/>
        <v>0</v>
      </c>
      <c r="S120" s="50">
        <f t="shared" si="14"/>
        <v>0</v>
      </c>
    </row>
    <row r="121" spans="1:19" ht="12.75" customHeight="1" x14ac:dyDescent="0.2">
      <c r="A121" s="5"/>
      <c r="B121" s="5">
        <v>4</v>
      </c>
      <c r="C121" s="1" t="s">
        <v>34</v>
      </c>
      <c r="D121" s="1"/>
      <c r="E121" s="31">
        <f t="shared" si="12"/>
        <v>12577.09</v>
      </c>
      <c r="G121" s="50">
        <v>12577.09</v>
      </c>
      <c r="H121" s="49"/>
      <c r="I121" s="50"/>
      <c r="J121" s="49"/>
      <c r="K121" s="50"/>
      <c r="L121" s="49"/>
      <c r="M121" s="50">
        <v>1815</v>
      </c>
      <c r="N121" s="50"/>
      <c r="O121" s="50">
        <v>10762.09</v>
      </c>
      <c r="P121" s="49"/>
      <c r="Q121" s="50"/>
      <c r="R121" s="47">
        <f t="shared" si="13"/>
        <v>0</v>
      </c>
      <c r="S121" s="50">
        <f t="shared" si="14"/>
        <v>0</v>
      </c>
    </row>
    <row r="122" spans="1:19" ht="12.75" customHeight="1" x14ac:dyDescent="0.2">
      <c r="A122" s="5"/>
      <c r="B122" s="5">
        <v>5</v>
      </c>
      <c r="C122" s="1" t="s">
        <v>35</v>
      </c>
      <c r="D122" s="1"/>
      <c r="E122" s="31">
        <f t="shared" si="12"/>
        <v>19366.519999999997</v>
      </c>
      <c r="G122" s="50">
        <v>10906.14</v>
      </c>
      <c r="H122" s="49"/>
      <c r="I122" s="50">
        <v>8460.3799999999992</v>
      </c>
      <c r="J122" s="49"/>
      <c r="K122" s="50"/>
      <c r="L122" s="49"/>
      <c r="M122" s="50">
        <v>6123</v>
      </c>
      <c r="N122" s="50"/>
      <c r="O122" s="50">
        <v>13243.52</v>
      </c>
      <c r="P122" s="49"/>
      <c r="Q122" s="50"/>
      <c r="R122" s="47">
        <f t="shared" si="13"/>
        <v>-3.637978807091713E-12</v>
      </c>
      <c r="S122" s="50">
        <f t="shared" si="14"/>
        <v>-3.637978807091713E-12</v>
      </c>
    </row>
    <row r="123" spans="1:19" ht="12.75" customHeight="1" x14ac:dyDescent="0.2">
      <c r="A123" s="5"/>
      <c r="B123" s="5">
        <v>6</v>
      </c>
      <c r="C123" s="1" t="s">
        <v>36</v>
      </c>
      <c r="D123" s="1"/>
      <c r="E123" s="31">
        <f t="shared" si="12"/>
        <v>3435297.75</v>
      </c>
      <c r="G123" s="50">
        <v>62789.94</v>
      </c>
      <c r="H123" s="49"/>
      <c r="I123" s="50">
        <v>17431.919999999998</v>
      </c>
      <c r="J123" s="49"/>
      <c r="K123" s="50">
        <v>3355075.89</v>
      </c>
      <c r="L123" s="49"/>
      <c r="M123" s="50">
        <v>1572667.98</v>
      </c>
      <c r="N123" s="50"/>
      <c r="O123" s="50">
        <v>1862629.77</v>
      </c>
      <c r="P123" s="49"/>
      <c r="Q123" s="50"/>
      <c r="R123" s="47">
        <f t="shared" si="13"/>
        <v>0</v>
      </c>
      <c r="S123" s="50">
        <f t="shared" si="14"/>
        <v>0</v>
      </c>
    </row>
    <row r="124" spans="1:19" ht="12.75" customHeight="1" x14ac:dyDescent="0.2">
      <c r="A124" s="5"/>
      <c r="B124" s="5">
        <v>7</v>
      </c>
      <c r="C124" s="1" t="s">
        <v>37</v>
      </c>
      <c r="D124" s="1"/>
      <c r="E124" s="31">
        <f t="shared" si="12"/>
        <v>66221.17</v>
      </c>
      <c r="G124" s="50">
        <v>1486.86</v>
      </c>
      <c r="H124" s="49"/>
      <c r="I124" s="50">
        <v>64734.31</v>
      </c>
      <c r="J124" s="49"/>
      <c r="K124" s="50"/>
      <c r="L124" s="49"/>
      <c r="M124" s="50">
        <v>41100.120000000003</v>
      </c>
      <c r="N124" s="50"/>
      <c r="O124" s="50">
        <v>25121.05</v>
      </c>
      <c r="P124" s="49"/>
      <c r="Q124" s="50"/>
      <c r="R124" s="47">
        <f t="shared" si="13"/>
        <v>-3.637978807091713E-12</v>
      </c>
      <c r="S124" s="50">
        <f t="shared" si="14"/>
        <v>-3.637978807091713E-12</v>
      </c>
    </row>
    <row r="125" spans="1:19" ht="12.75" customHeight="1" x14ac:dyDescent="0.2">
      <c r="A125" s="5"/>
      <c r="B125" s="5">
        <v>8</v>
      </c>
      <c r="C125" s="1" t="s">
        <v>38</v>
      </c>
      <c r="D125" s="1"/>
      <c r="E125" s="31">
        <f t="shared" si="12"/>
        <v>4922389.8</v>
      </c>
      <c r="G125" s="50">
        <v>60064.37</v>
      </c>
      <c r="H125" s="49"/>
      <c r="I125" s="50">
        <v>-1891.21</v>
      </c>
      <c r="J125" s="49"/>
      <c r="K125" s="50">
        <v>4864216.6399999997</v>
      </c>
      <c r="L125" s="49"/>
      <c r="M125" s="50">
        <v>2260997.4900000002</v>
      </c>
      <c r="N125" s="50"/>
      <c r="O125" s="50">
        <v>2661272.31</v>
      </c>
      <c r="P125" s="49"/>
      <c r="Q125" s="50">
        <v>-120</v>
      </c>
      <c r="R125" s="47">
        <f t="shared" si="13"/>
        <v>239.99999999953434</v>
      </c>
      <c r="S125" s="50">
        <f t="shared" si="14"/>
        <v>-4.6566128730773926E-10</v>
      </c>
    </row>
    <row r="126" spans="1:19" ht="12.75" customHeight="1" x14ac:dyDescent="0.2">
      <c r="A126" s="5"/>
      <c r="B126" s="5">
        <v>9</v>
      </c>
      <c r="C126" s="1" t="s">
        <v>39</v>
      </c>
      <c r="D126" s="1"/>
      <c r="E126" s="31">
        <f t="shared" si="12"/>
        <v>11073.66</v>
      </c>
      <c r="G126" s="50">
        <v>5699.17</v>
      </c>
      <c r="H126" s="49"/>
      <c r="I126" s="50"/>
      <c r="J126" s="49"/>
      <c r="K126" s="50">
        <v>5374.49</v>
      </c>
      <c r="L126" s="49"/>
      <c r="M126" s="50">
        <v>2890</v>
      </c>
      <c r="N126" s="50"/>
      <c r="O126" s="50">
        <v>8183.66</v>
      </c>
      <c r="P126" s="49"/>
      <c r="Q126" s="50"/>
      <c r="R126" s="47">
        <f t="shared" si="13"/>
        <v>0</v>
      </c>
      <c r="S126" s="76">
        <f t="shared" si="14"/>
        <v>0</v>
      </c>
    </row>
    <row r="127" spans="1:19" ht="12.75" customHeight="1" x14ac:dyDescent="0.2">
      <c r="A127" s="5"/>
      <c r="B127" s="5">
        <v>10</v>
      </c>
      <c r="C127" s="1" t="s">
        <v>40</v>
      </c>
      <c r="D127" s="1"/>
      <c r="E127" s="31">
        <f t="shared" si="12"/>
        <v>2434.4299999999998</v>
      </c>
      <c r="G127" s="50">
        <v>2434.4299999999998</v>
      </c>
      <c r="H127" s="49"/>
      <c r="I127" s="50"/>
      <c r="J127" s="49"/>
      <c r="K127" s="50"/>
      <c r="L127" s="49"/>
      <c r="M127" s="50"/>
      <c r="N127" s="50"/>
      <c r="O127" s="50">
        <v>2434.4299999999998</v>
      </c>
      <c r="P127" s="49"/>
      <c r="Q127" s="50"/>
      <c r="R127" s="47">
        <f t="shared" si="13"/>
        <v>0</v>
      </c>
      <c r="S127" s="76">
        <f t="shared" si="14"/>
        <v>0</v>
      </c>
    </row>
    <row r="128" spans="1:19" ht="12.75" customHeight="1" x14ac:dyDescent="0.2">
      <c r="A128" s="5"/>
      <c r="B128" s="5">
        <v>11</v>
      </c>
      <c r="C128" s="1" t="s">
        <v>177</v>
      </c>
      <c r="D128" s="1"/>
      <c r="E128" s="31">
        <f t="shared" si="12"/>
        <v>11251.06</v>
      </c>
      <c r="G128" s="50">
        <v>2081.42</v>
      </c>
      <c r="H128" s="49"/>
      <c r="I128" s="50">
        <v>3584.72</v>
      </c>
      <c r="J128" s="49"/>
      <c r="K128" s="50">
        <v>5584.92</v>
      </c>
      <c r="L128" s="49"/>
      <c r="M128" s="50"/>
      <c r="N128" s="50"/>
      <c r="O128" s="50">
        <v>11251.06</v>
      </c>
      <c r="P128" s="49"/>
      <c r="Q128" s="50"/>
      <c r="R128" s="47">
        <f t="shared" si="13"/>
        <v>0</v>
      </c>
      <c r="S128" s="76">
        <f t="shared" si="14"/>
        <v>0</v>
      </c>
    </row>
    <row r="129" spans="1:19" ht="12.75" customHeight="1" x14ac:dyDescent="0.2">
      <c r="A129" s="5"/>
      <c r="B129" s="5">
        <v>12</v>
      </c>
      <c r="C129" s="1" t="s">
        <v>41</v>
      </c>
      <c r="D129" s="1"/>
      <c r="E129" s="31">
        <f t="shared" si="12"/>
        <v>16715.400000000001</v>
      </c>
      <c r="G129" s="50">
        <v>7358</v>
      </c>
      <c r="H129" s="49"/>
      <c r="I129" s="50">
        <v>1769.2</v>
      </c>
      <c r="J129" s="49"/>
      <c r="K129" s="50">
        <v>7588.2</v>
      </c>
      <c r="L129" s="49"/>
      <c r="M129" s="50">
        <v>50</v>
      </c>
      <c r="N129" s="50"/>
      <c r="O129" s="50">
        <v>16665.400000000001</v>
      </c>
      <c r="P129" s="49"/>
      <c r="Q129" s="50"/>
      <c r="R129" s="47">
        <f t="shared" si="13"/>
        <v>0</v>
      </c>
      <c r="S129" s="76">
        <f t="shared" si="14"/>
        <v>0</v>
      </c>
    </row>
    <row r="130" spans="1:19" ht="12.75" customHeight="1" x14ac:dyDescent="0.2">
      <c r="A130" s="5"/>
      <c r="B130" s="5">
        <v>13</v>
      </c>
      <c r="C130" s="1" t="s">
        <v>42</v>
      </c>
      <c r="D130" s="1"/>
      <c r="E130" s="31">
        <f t="shared" si="12"/>
        <v>18329</v>
      </c>
      <c r="G130" s="50">
        <v>15232.38</v>
      </c>
      <c r="H130" s="49"/>
      <c r="I130" s="50">
        <v>9235.08</v>
      </c>
      <c r="J130" s="49"/>
      <c r="K130" s="50">
        <v>-6138.46</v>
      </c>
      <c r="L130" s="49"/>
      <c r="M130" s="50">
        <v>2110.38</v>
      </c>
      <c r="N130" s="50"/>
      <c r="O130" s="50">
        <v>16218.62</v>
      </c>
      <c r="P130" s="49"/>
      <c r="Q130" s="50"/>
      <c r="R130" s="47">
        <f t="shared" si="13"/>
        <v>-1.8189894035458565E-12</v>
      </c>
      <c r="S130" s="50">
        <f t="shared" si="14"/>
        <v>-1.8189894035458565E-12</v>
      </c>
    </row>
    <row r="131" spans="1:19" ht="12.75" customHeight="1" x14ac:dyDescent="0.2">
      <c r="A131" s="5"/>
      <c r="B131" s="5">
        <v>14</v>
      </c>
      <c r="C131" s="1" t="s">
        <v>43</v>
      </c>
      <c r="D131" s="1"/>
      <c r="E131" s="31">
        <f t="shared" si="12"/>
        <v>391968.31</v>
      </c>
      <c r="G131" s="50">
        <v>281227.74</v>
      </c>
      <c r="H131" s="49"/>
      <c r="I131" s="50">
        <v>110740.57</v>
      </c>
      <c r="J131" s="49"/>
      <c r="K131" s="50"/>
      <c r="L131" s="49"/>
      <c r="M131" s="50">
        <v>215169.21</v>
      </c>
      <c r="N131" s="50"/>
      <c r="O131" s="50">
        <v>176382.1</v>
      </c>
      <c r="P131" s="49"/>
      <c r="Q131" s="50">
        <v>-417</v>
      </c>
      <c r="R131" s="47">
        <f t="shared" si="13"/>
        <v>834</v>
      </c>
      <c r="S131" s="50">
        <f t="shared" si="14"/>
        <v>0</v>
      </c>
    </row>
    <row r="132" spans="1:19" ht="12.75" customHeight="1" x14ac:dyDescent="0.2">
      <c r="A132" s="5"/>
      <c r="B132" s="5">
        <v>15</v>
      </c>
      <c r="C132" s="1" t="s">
        <v>44</v>
      </c>
      <c r="D132" s="1"/>
      <c r="E132" s="31">
        <f t="shared" si="12"/>
        <v>92001.05</v>
      </c>
      <c r="G132" s="50">
        <v>22020.53</v>
      </c>
      <c r="H132" s="49"/>
      <c r="I132" s="50">
        <v>53771.28</v>
      </c>
      <c r="J132" s="49"/>
      <c r="K132" s="50">
        <v>16209.24</v>
      </c>
      <c r="L132" s="49"/>
      <c r="M132" s="50">
        <v>58229.55</v>
      </c>
      <c r="N132" s="50"/>
      <c r="O132" s="50">
        <v>33771.5</v>
      </c>
      <c r="P132" s="49"/>
      <c r="Q132" s="50"/>
      <c r="R132" s="47">
        <f t="shared" si="13"/>
        <v>0</v>
      </c>
      <c r="S132" s="50">
        <f t="shared" si="14"/>
        <v>0</v>
      </c>
    </row>
    <row r="133" spans="1:19" ht="12.75" customHeight="1" x14ac:dyDescent="0.2">
      <c r="A133" s="5"/>
      <c r="B133" s="5">
        <v>16</v>
      </c>
      <c r="C133" s="1" t="s">
        <v>45</v>
      </c>
      <c r="D133" s="1"/>
      <c r="E133" s="31">
        <f t="shared" si="12"/>
        <v>685.33</v>
      </c>
      <c r="G133" s="50"/>
      <c r="H133" s="49"/>
      <c r="I133" s="50"/>
      <c r="J133" s="49"/>
      <c r="K133" s="50">
        <v>685.33</v>
      </c>
      <c r="L133" s="49"/>
      <c r="M133" s="50"/>
      <c r="N133" s="50"/>
      <c r="O133" s="50">
        <v>685.33</v>
      </c>
      <c r="P133" s="49"/>
      <c r="Q133" s="50"/>
      <c r="R133" s="47">
        <f t="shared" si="13"/>
        <v>0</v>
      </c>
      <c r="S133" s="50">
        <f t="shared" si="14"/>
        <v>0</v>
      </c>
    </row>
    <row r="134" spans="1:19" ht="12.75" customHeight="1" x14ac:dyDescent="0.2">
      <c r="A134" s="5"/>
      <c r="B134" s="5">
        <v>17</v>
      </c>
      <c r="C134" s="1" t="s">
        <v>46</v>
      </c>
      <c r="D134" s="1"/>
      <c r="E134" s="31">
        <f t="shared" si="12"/>
        <v>993.38</v>
      </c>
      <c r="G134" s="50">
        <v>100</v>
      </c>
      <c r="H134" s="49"/>
      <c r="I134" s="50">
        <v>893.38</v>
      </c>
      <c r="J134" s="49"/>
      <c r="K134" s="50"/>
      <c r="L134" s="49"/>
      <c r="M134" s="50"/>
      <c r="N134" s="50"/>
      <c r="O134" s="50">
        <v>993.38</v>
      </c>
      <c r="P134" s="49"/>
      <c r="Q134" s="50"/>
      <c r="R134" s="47">
        <f t="shared" si="13"/>
        <v>0</v>
      </c>
      <c r="S134" s="76">
        <f t="shared" si="14"/>
        <v>0</v>
      </c>
    </row>
    <row r="135" spans="1:19" ht="12.75" customHeight="1" x14ac:dyDescent="0.2">
      <c r="A135" s="5"/>
      <c r="B135" s="5">
        <v>18</v>
      </c>
      <c r="C135" s="1" t="s">
        <v>47</v>
      </c>
      <c r="D135" s="1"/>
      <c r="E135" s="31">
        <f t="shared" si="12"/>
        <v>1183.6400000000001</v>
      </c>
      <c r="G135" s="50">
        <v>1183.6400000000001</v>
      </c>
      <c r="H135" s="49"/>
      <c r="I135" s="50"/>
      <c r="J135" s="49"/>
      <c r="K135" s="50"/>
      <c r="L135" s="49"/>
      <c r="M135" s="50"/>
      <c r="N135" s="50"/>
      <c r="O135" s="50">
        <v>1183.6400000000001</v>
      </c>
      <c r="P135" s="49"/>
      <c r="Q135" s="50"/>
      <c r="R135" s="47">
        <f t="shared" si="13"/>
        <v>0</v>
      </c>
      <c r="S135" s="76">
        <f t="shared" si="14"/>
        <v>0</v>
      </c>
    </row>
    <row r="136" spans="1:19" ht="12.75" customHeight="1" x14ac:dyDescent="0.2">
      <c r="A136" s="5"/>
      <c r="B136" s="5">
        <v>19</v>
      </c>
      <c r="C136" s="1" t="s">
        <v>48</v>
      </c>
      <c r="D136" s="1"/>
      <c r="E136" s="31">
        <f t="shared" si="12"/>
        <v>2455024.6100000003</v>
      </c>
      <c r="G136" s="50">
        <v>8809.5300000000007</v>
      </c>
      <c r="H136" s="49"/>
      <c r="I136" s="50">
        <v>174342.98</v>
      </c>
      <c r="J136" s="49"/>
      <c r="K136" s="50">
        <v>2271872.1</v>
      </c>
      <c r="L136" s="49"/>
      <c r="M136" s="50">
        <v>1193329.6200000001</v>
      </c>
      <c r="N136" s="50"/>
      <c r="O136" s="50">
        <v>1261694.99</v>
      </c>
      <c r="P136" s="49"/>
      <c r="Q136" s="50"/>
      <c r="R136" s="47">
        <f t="shared" si="13"/>
        <v>2.3283064365386963E-10</v>
      </c>
      <c r="S136" s="76">
        <f t="shared" si="14"/>
        <v>2.3283064365386963E-10</v>
      </c>
    </row>
    <row r="137" spans="1:19" ht="12.75" customHeight="1" x14ac:dyDescent="0.2">
      <c r="A137" s="5"/>
      <c r="B137" s="5">
        <v>20</v>
      </c>
      <c r="C137" s="1" t="s">
        <v>49</v>
      </c>
      <c r="D137" s="1"/>
      <c r="E137" s="31">
        <f t="shared" si="12"/>
        <v>52348.3</v>
      </c>
      <c r="G137" s="50">
        <v>22140.560000000001</v>
      </c>
      <c r="H137" s="49"/>
      <c r="I137" s="50">
        <v>13455.56</v>
      </c>
      <c r="J137" s="49"/>
      <c r="K137" s="50">
        <v>16752.18</v>
      </c>
      <c r="L137" s="49"/>
      <c r="M137" s="50">
        <v>13129.55</v>
      </c>
      <c r="N137" s="50"/>
      <c r="O137" s="50">
        <v>39218.75</v>
      </c>
      <c r="P137" s="49"/>
      <c r="Q137" s="50"/>
      <c r="R137" s="47">
        <f t="shared" si="13"/>
        <v>0</v>
      </c>
      <c r="S137" s="76">
        <f t="shared" si="14"/>
        <v>0</v>
      </c>
    </row>
    <row r="138" spans="1:19" ht="12.75" customHeight="1" x14ac:dyDescent="0.2">
      <c r="A138" s="5"/>
      <c r="B138" s="5">
        <v>21</v>
      </c>
      <c r="C138" s="1" t="s">
        <v>50</v>
      </c>
      <c r="D138" s="1"/>
      <c r="G138" s="50"/>
      <c r="H138" s="49"/>
      <c r="I138" s="50"/>
      <c r="J138" s="49"/>
      <c r="K138" s="50"/>
      <c r="L138" s="49"/>
      <c r="M138" s="50"/>
      <c r="N138" s="50"/>
      <c r="O138" s="50"/>
      <c r="P138" s="49"/>
      <c r="Q138" s="50"/>
      <c r="R138" s="47">
        <f t="shared" si="13"/>
        <v>0</v>
      </c>
      <c r="S138" s="76">
        <f t="shared" si="14"/>
        <v>0</v>
      </c>
    </row>
    <row r="139" spans="1:19" ht="12.75" customHeight="1" x14ac:dyDescent="0.2">
      <c r="A139" s="5"/>
      <c r="B139" s="5">
        <v>22</v>
      </c>
      <c r="C139" s="5"/>
      <c r="D139" s="1" t="s">
        <v>51</v>
      </c>
      <c r="E139" s="31">
        <f t="shared" ref="E139:E154" si="15">SUM(G139:K139)</f>
        <v>681.98</v>
      </c>
      <c r="G139" s="50">
        <v>681.98</v>
      </c>
      <c r="H139" s="49"/>
      <c r="I139" s="50"/>
      <c r="J139" s="49"/>
      <c r="K139" s="50"/>
      <c r="L139" s="49"/>
      <c r="M139" s="50"/>
      <c r="N139" s="50"/>
      <c r="O139" s="50">
        <v>681.98</v>
      </c>
      <c r="P139" s="49"/>
      <c r="Q139" s="50"/>
      <c r="R139" s="47">
        <f t="shared" si="13"/>
        <v>0</v>
      </c>
      <c r="S139" s="76">
        <f t="shared" si="14"/>
        <v>0</v>
      </c>
    </row>
    <row r="140" spans="1:19" ht="12.75" customHeight="1" x14ac:dyDescent="0.2">
      <c r="A140" s="5"/>
      <c r="B140" s="5">
        <v>23</v>
      </c>
      <c r="C140" s="1" t="s">
        <v>52</v>
      </c>
      <c r="D140" s="1"/>
      <c r="E140" s="31">
        <f t="shared" si="15"/>
        <v>174251.71</v>
      </c>
      <c r="G140" s="50">
        <v>33362.39</v>
      </c>
      <c r="H140" s="49"/>
      <c r="I140" s="50">
        <v>48029.64</v>
      </c>
      <c r="J140" s="49"/>
      <c r="K140" s="50">
        <v>92859.68</v>
      </c>
      <c r="L140" s="49"/>
      <c r="M140" s="50">
        <v>113647.54</v>
      </c>
      <c r="N140" s="50"/>
      <c r="O140" s="50">
        <v>60604.17</v>
      </c>
      <c r="P140" s="49"/>
      <c r="Q140" s="50"/>
      <c r="R140" s="47">
        <f t="shared" si="13"/>
        <v>0</v>
      </c>
      <c r="S140" s="76">
        <f t="shared" si="14"/>
        <v>0</v>
      </c>
    </row>
    <row r="141" spans="1:19" ht="12.75" customHeight="1" x14ac:dyDescent="0.2">
      <c r="A141" s="5"/>
      <c r="B141" s="5">
        <v>24</v>
      </c>
      <c r="C141" s="1" t="s">
        <v>70</v>
      </c>
      <c r="D141" s="1"/>
      <c r="E141" s="31">
        <f t="shared" si="15"/>
        <v>1183818.8900000001</v>
      </c>
      <c r="G141" s="50">
        <v>6956.55</v>
      </c>
      <c r="H141" s="49"/>
      <c r="I141" s="50">
        <v>38181.730000000003</v>
      </c>
      <c r="J141" s="49"/>
      <c r="K141" s="50">
        <v>1138680.6100000001</v>
      </c>
      <c r="L141" s="49"/>
      <c r="M141" s="50">
        <v>625392.06999999995</v>
      </c>
      <c r="N141" s="50"/>
      <c r="O141" s="50">
        <v>557866.81999999995</v>
      </c>
      <c r="P141" s="49"/>
      <c r="Q141" s="50">
        <v>-560</v>
      </c>
      <c r="R141" s="47">
        <f t="shared" si="13"/>
        <v>1120.0000000002328</v>
      </c>
      <c r="S141" s="50">
        <f t="shared" si="14"/>
        <v>2.3283064365386963E-10</v>
      </c>
    </row>
    <row r="142" spans="1:19" ht="12.75" customHeight="1" x14ac:dyDescent="0.2">
      <c r="A142" s="5"/>
      <c r="B142" s="5">
        <v>25</v>
      </c>
      <c r="C142" s="1" t="s">
        <v>55</v>
      </c>
      <c r="D142" s="1"/>
      <c r="E142" s="31">
        <f t="shared" si="15"/>
        <v>90020.45</v>
      </c>
      <c r="G142" s="50">
        <v>9963.23</v>
      </c>
      <c r="H142" s="49"/>
      <c r="I142" s="50">
        <v>80057.22</v>
      </c>
      <c r="J142" s="49"/>
      <c r="K142" s="50"/>
      <c r="L142" s="49"/>
      <c r="M142" s="50">
        <v>66770.429999999993</v>
      </c>
      <c r="N142" s="50"/>
      <c r="O142" s="50">
        <v>23250.02</v>
      </c>
      <c r="P142" s="49"/>
      <c r="Q142" s="50"/>
      <c r="R142" s="47">
        <f t="shared" si="13"/>
        <v>3.637978807091713E-12</v>
      </c>
      <c r="S142" s="50">
        <f t="shared" si="14"/>
        <v>3.637978807091713E-12</v>
      </c>
    </row>
    <row r="143" spans="1:19" ht="12.75" customHeight="1" x14ac:dyDescent="0.2">
      <c r="A143" s="5"/>
      <c r="B143" s="5">
        <v>26</v>
      </c>
      <c r="C143" s="1" t="s">
        <v>56</v>
      </c>
      <c r="D143" s="1"/>
      <c r="E143" s="31">
        <f t="shared" ref="E143:E144" si="16">SUM(G143:K143)</f>
        <v>748248.04</v>
      </c>
      <c r="G143" s="50">
        <v>1133.29</v>
      </c>
      <c r="H143" s="49"/>
      <c r="I143" s="50">
        <v>2339.69</v>
      </c>
      <c r="J143" s="49"/>
      <c r="K143" s="50">
        <v>744775.06</v>
      </c>
      <c r="L143" s="49"/>
      <c r="M143" s="50">
        <v>483953.2</v>
      </c>
      <c r="N143" s="50"/>
      <c r="O143" s="50">
        <v>264294.84000000003</v>
      </c>
      <c r="P143" s="49"/>
      <c r="Q143" s="50"/>
      <c r="R143" s="47">
        <f t="shared" ref="R143:R144" si="17">E143-M143-O143-Q143</f>
        <v>0</v>
      </c>
      <c r="S143" s="50">
        <f t="shared" ref="S143:S144" si="18">E143-M143-O143+Q143</f>
        <v>0</v>
      </c>
    </row>
    <row r="144" spans="1:19" ht="12.75" customHeight="1" x14ac:dyDescent="0.2">
      <c r="A144" s="5"/>
      <c r="B144" s="5">
        <v>27</v>
      </c>
      <c r="C144" s="53" t="s">
        <v>57</v>
      </c>
      <c r="D144" s="1"/>
      <c r="E144" s="31">
        <f t="shared" si="16"/>
        <v>0</v>
      </c>
      <c r="G144" s="50"/>
      <c r="H144" s="49"/>
      <c r="I144" s="50"/>
      <c r="J144" s="49"/>
      <c r="K144" s="50"/>
      <c r="L144" s="49"/>
      <c r="M144" s="50"/>
      <c r="N144" s="50"/>
      <c r="O144" s="50"/>
      <c r="P144" s="49"/>
      <c r="Q144" s="50"/>
      <c r="R144" s="47">
        <f t="shared" si="17"/>
        <v>0</v>
      </c>
      <c r="S144" s="50">
        <f t="shared" si="18"/>
        <v>0</v>
      </c>
    </row>
    <row r="145" spans="1:19" ht="12.75" customHeight="1" x14ac:dyDescent="0.2">
      <c r="A145" s="5"/>
      <c r="B145" s="5">
        <v>26</v>
      </c>
      <c r="C145" s="53" t="s">
        <v>276</v>
      </c>
      <c r="D145" s="1"/>
      <c r="E145" s="31">
        <f t="shared" si="15"/>
        <v>0</v>
      </c>
      <c r="G145" s="50"/>
      <c r="H145" s="49"/>
      <c r="I145" s="50"/>
      <c r="J145" s="49"/>
      <c r="K145" s="50"/>
      <c r="L145" s="49"/>
      <c r="M145" s="50"/>
      <c r="N145" s="50"/>
      <c r="O145" s="50"/>
      <c r="P145" s="49"/>
      <c r="Q145" s="50"/>
      <c r="R145" s="47">
        <f t="shared" si="13"/>
        <v>0</v>
      </c>
      <c r="S145" s="50">
        <f t="shared" si="14"/>
        <v>0</v>
      </c>
    </row>
    <row r="146" spans="1:19" ht="12.75" customHeight="1" x14ac:dyDescent="0.2">
      <c r="A146" s="5"/>
      <c r="B146" s="5">
        <v>27</v>
      </c>
      <c r="C146" s="1" t="s">
        <v>58</v>
      </c>
      <c r="D146" s="1"/>
      <c r="E146" s="31">
        <f t="shared" si="15"/>
        <v>22582.14</v>
      </c>
      <c r="G146" s="50">
        <v>19910.38</v>
      </c>
      <c r="H146" s="49"/>
      <c r="I146" s="50">
        <v>160.63999999999999</v>
      </c>
      <c r="J146" s="49"/>
      <c r="K146" s="50">
        <v>2511.12</v>
      </c>
      <c r="L146" s="49"/>
      <c r="M146" s="50"/>
      <c r="N146" s="50"/>
      <c r="O146" s="50">
        <v>22582.14</v>
      </c>
      <c r="P146" s="49"/>
      <c r="Q146" s="50"/>
      <c r="R146" s="47">
        <f t="shared" si="13"/>
        <v>0</v>
      </c>
      <c r="S146" s="50">
        <f t="shared" si="14"/>
        <v>0</v>
      </c>
    </row>
    <row r="147" spans="1:19" ht="12.75" customHeight="1" x14ac:dyDescent="0.2">
      <c r="A147" s="5"/>
      <c r="B147" s="5">
        <v>19</v>
      </c>
      <c r="C147" s="1" t="s">
        <v>59</v>
      </c>
      <c r="D147" s="1"/>
      <c r="E147" s="31">
        <f>SUM(G147:K147)</f>
        <v>0</v>
      </c>
      <c r="G147" s="50"/>
      <c r="H147" s="49"/>
      <c r="I147" s="50"/>
      <c r="J147" s="49"/>
      <c r="K147" s="50"/>
      <c r="L147" s="49"/>
      <c r="M147" s="50"/>
      <c r="N147" s="50"/>
      <c r="O147" s="50"/>
      <c r="P147" s="49"/>
      <c r="Q147" s="50"/>
      <c r="R147" s="47">
        <f>E147-M147-O147-Q147</f>
        <v>0</v>
      </c>
      <c r="S147" s="50">
        <f t="shared" si="14"/>
        <v>0</v>
      </c>
    </row>
    <row r="148" spans="1:19" ht="12.75" customHeight="1" x14ac:dyDescent="0.2">
      <c r="A148" s="5"/>
      <c r="B148" s="5">
        <v>28</v>
      </c>
      <c r="C148" s="1" t="s">
        <v>71</v>
      </c>
      <c r="D148" s="1"/>
      <c r="E148" s="31">
        <f t="shared" si="15"/>
        <v>5998620.8300000001</v>
      </c>
      <c r="G148" s="50">
        <v>4840.9399999999996</v>
      </c>
      <c r="H148" s="49"/>
      <c r="I148" s="50">
        <v>128245.79</v>
      </c>
      <c r="J148" s="49"/>
      <c r="K148" s="50">
        <v>5865534.0999999996</v>
      </c>
      <c r="L148" s="49"/>
      <c r="M148" s="50">
        <v>3397511.14</v>
      </c>
      <c r="N148" s="50"/>
      <c r="O148" s="50">
        <v>2600829.69</v>
      </c>
      <c r="P148" s="49"/>
      <c r="Q148" s="50">
        <v>-280</v>
      </c>
      <c r="R148" s="47">
        <f t="shared" si="13"/>
        <v>560</v>
      </c>
      <c r="S148" s="50">
        <f t="shared" si="14"/>
        <v>0</v>
      </c>
    </row>
    <row r="149" spans="1:19" ht="12.75" customHeight="1" x14ac:dyDescent="0.2">
      <c r="A149" s="5"/>
      <c r="B149" s="5">
        <v>29</v>
      </c>
      <c r="C149" s="1" t="s">
        <v>61</v>
      </c>
      <c r="D149" s="1"/>
      <c r="E149" s="31">
        <f t="shared" si="15"/>
        <v>28281.17</v>
      </c>
      <c r="G149" s="50">
        <v>11923.17</v>
      </c>
      <c r="H149" s="49"/>
      <c r="I149" s="50"/>
      <c r="J149" s="49"/>
      <c r="K149" s="50">
        <v>16358</v>
      </c>
      <c r="L149" s="49"/>
      <c r="M149" s="50">
        <v>772</v>
      </c>
      <c r="N149" s="50"/>
      <c r="O149" s="50">
        <v>27509.17</v>
      </c>
      <c r="P149" s="49"/>
      <c r="Q149" s="50"/>
      <c r="R149" s="47">
        <f t="shared" si="13"/>
        <v>0</v>
      </c>
      <c r="S149" s="50">
        <f t="shared" si="14"/>
        <v>0</v>
      </c>
    </row>
    <row r="150" spans="1:19" ht="12.75" customHeight="1" x14ac:dyDescent="0.2">
      <c r="A150" s="5"/>
      <c r="B150" s="5">
        <v>30</v>
      </c>
      <c r="C150" s="1" t="s">
        <v>72</v>
      </c>
      <c r="D150" s="1"/>
      <c r="E150" s="31">
        <f t="shared" si="15"/>
        <v>47201.33</v>
      </c>
      <c r="G150" s="50">
        <v>-82.45</v>
      </c>
      <c r="H150" s="49"/>
      <c r="I150" s="50">
        <v>10248.64</v>
      </c>
      <c r="J150" s="49"/>
      <c r="K150" s="50">
        <v>37035.14</v>
      </c>
      <c r="L150" s="49"/>
      <c r="M150" s="50">
        <v>24910.06</v>
      </c>
      <c r="N150" s="50"/>
      <c r="O150" s="50">
        <v>22291.27</v>
      </c>
      <c r="P150" s="49"/>
      <c r="Q150" s="50"/>
      <c r="R150" s="47">
        <f t="shared" si="13"/>
        <v>0</v>
      </c>
      <c r="S150" s="50">
        <f t="shared" si="14"/>
        <v>0</v>
      </c>
    </row>
    <row r="151" spans="1:19" ht="12.75" customHeight="1" x14ac:dyDescent="0.2">
      <c r="A151" s="5"/>
      <c r="B151" s="5">
        <v>31</v>
      </c>
      <c r="C151" s="1" t="s">
        <v>62</v>
      </c>
      <c r="D151" s="1"/>
      <c r="E151" s="31">
        <f t="shared" si="15"/>
        <v>3961224.38</v>
      </c>
      <c r="G151" s="50">
        <v>31856.41</v>
      </c>
      <c r="H151" s="49"/>
      <c r="I151" s="50">
        <v>-115.76</v>
      </c>
      <c r="J151" s="49"/>
      <c r="K151" s="50">
        <v>3929483.73</v>
      </c>
      <c r="L151" s="49"/>
      <c r="M151" s="50">
        <v>2283143.61</v>
      </c>
      <c r="N151" s="50"/>
      <c r="O151" s="50">
        <v>1672483.52</v>
      </c>
      <c r="P151" s="49"/>
      <c r="Q151" s="50">
        <v>-5597.25</v>
      </c>
      <c r="R151" s="47">
        <f t="shared" si="13"/>
        <v>11194.5</v>
      </c>
      <c r="S151" s="50">
        <f t="shared" si="14"/>
        <v>0</v>
      </c>
    </row>
    <row r="152" spans="1:19" ht="12.75" customHeight="1" x14ac:dyDescent="0.2">
      <c r="A152" s="5"/>
      <c r="B152" s="5">
        <v>32</v>
      </c>
      <c r="C152" s="1" t="s">
        <v>63</v>
      </c>
      <c r="D152" s="1"/>
      <c r="E152" s="31">
        <f t="shared" si="15"/>
        <v>5119.4399999999996</v>
      </c>
      <c r="G152" s="50">
        <v>5119.4399999999996</v>
      </c>
      <c r="H152" s="49"/>
      <c r="I152" s="50"/>
      <c r="J152" s="49"/>
      <c r="K152" s="50"/>
      <c r="L152" s="49"/>
      <c r="M152" s="50">
        <v>2177.2199999999998</v>
      </c>
      <c r="N152" s="50"/>
      <c r="O152" s="50">
        <v>2942.22</v>
      </c>
      <c r="P152" s="49"/>
      <c r="Q152" s="50"/>
      <c r="R152" s="47">
        <f t="shared" si="13"/>
        <v>0</v>
      </c>
      <c r="S152" s="50">
        <f t="shared" si="14"/>
        <v>0</v>
      </c>
    </row>
    <row r="153" spans="1:19" ht="12.75" customHeight="1" x14ac:dyDescent="0.2">
      <c r="A153" s="5"/>
      <c r="B153" s="5">
        <v>33</v>
      </c>
      <c r="C153" s="1" t="s">
        <v>64</v>
      </c>
      <c r="D153" s="1"/>
      <c r="E153" s="31">
        <f t="shared" si="15"/>
        <v>33279.440000000002</v>
      </c>
      <c r="G153" s="50">
        <v>26204.1</v>
      </c>
      <c r="H153" s="49"/>
      <c r="I153" s="50">
        <v>7075.34</v>
      </c>
      <c r="J153" s="49"/>
      <c r="K153" s="50"/>
      <c r="L153" s="49"/>
      <c r="M153" s="50">
        <v>6459.3</v>
      </c>
      <c r="N153" s="50"/>
      <c r="O153" s="50">
        <v>26820.14</v>
      </c>
      <c r="P153" s="49"/>
      <c r="Q153" s="50"/>
      <c r="R153" s="47">
        <f t="shared" si="13"/>
        <v>3.637978807091713E-12</v>
      </c>
      <c r="S153" s="50">
        <f t="shared" si="14"/>
        <v>3.637978807091713E-12</v>
      </c>
    </row>
    <row r="154" spans="1:19" ht="12.75" customHeight="1" x14ac:dyDescent="0.2">
      <c r="A154" s="5"/>
      <c r="B154" s="5">
        <v>34</v>
      </c>
      <c r="C154" s="1" t="s">
        <v>65</v>
      </c>
      <c r="D154" s="1"/>
      <c r="E154" s="31">
        <f t="shared" si="15"/>
        <v>6566.21</v>
      </c>
      <c r="G154" s="50">
        <v>1000</v>
      </c>
      <c r="H154" s="49"/>
      <c r="I154" s="50">
        <v>5854.96</v>
      </c>
      <c r="J154" s="49"/>
      <c r="K154" s="50">
        <v>-288.75</v>
      </c>
      <c r="L154" s="49"/>
      <c r="M154" s="50"/>
      <c r="N154" s="50"/>
      <c r="O154" s="50">
        <v>6566.21</v>
      </c>
      <c r="P154" s="49"/>
      <c r="Q154" s="50"/>
      <c r="R154" s="47">
        <f t="shared" si="13"/>
        <v>0</v>
      </c>
      <c r="S154" s="50">
        <f t="shared" si="14"/>
        <v>0</v>
      </c>
    </row>
    <row r="155" spans="1:19" ht="12.75" customHeight="1" x14ac:dyDescent="0.2">
      <c r="A155" s="5"/>
      <c r="B155" s="5">
        <v>36</v>
      </c>
      <c r="C155" s="53" t="s">
        <v>277</v>
      </c>
      <c r="D155" s="1"/>
      <c r="E155" s="31">
        <f>SUM(G155:K155)</f>
        <v>600</v>
      </c>
      <c r="G155" s="50">
        <v>600</v>
      </c>
      <c r="H155" s="49"/>
      <c r="I155" s="50"/>
      <c r="J155" s="49"/>
      <c r="K155" s="50"/>
      <c r="L155" s="49"/>
      <c r="M155" s="50"/>
      <c r="N155" s="50"/>
      <c r="O155" s="50">
        <v>600</v>
      </c>
      <c r="P155" s="49"/>
      <c r="Q155" s="50"/>
      <c r="R155" s="47">
        <f t="shared" ref="R155" si="19">E155-M155-O155-Q155</f>
        <v>0</v>
      </c>
      <c r="S155" s="50">
        <f t="shared" ref="S155" si="20">E155-M155-O155+Q155</f>
        <v>0</v>
      </c>
    </row>
    <row r="156" spans="1:19" ht="12.75" customHeight="1" x14ac:dyDescent="0.2">
      <c r="A156" s="5"/>
      <c r="B156" s="5">
        <v>36</v>
      </c>
      <c r="C156" s="1" t="s">
        <v>66</v>
      </c>
      <c r="D156" s="1"/>
      <c r="E156" s="31">
        <f>SUM(G156:K156)</f>
        <v>164243.62</v>
      </c>
      <c r="G156" s="50"/>
      <c r="H156" s="49"/>
      <c r="I156" s="50"/>
      <c r="J156" s="49"/>
      <c r="K156" s="50">
        <v>164243.62</v>
      </c>
      <c r="L156" s="49"/>
      <c r="M156" s="50">
        <v>114019.88</v>
      </c>
      <c r="N156" s="50"/>
      <c r="O156" s="50">
        <v>50223.74</v>
      </c>
      <c r="P156" s="49"/>
      <c r="Q156" s="50"/>
      <c r="R156" s="47">
        <f t="shared" si="13"/>
        <v>-7.2759576141834259E-12</v>
      </c>
      <c r="S156" s="50">
        <f t="shared" si="14"/>
        <v>-7.2759576141834259E-12</v>
      </c>
    </row>
    <row r="157" spans="1:19" ht="12.75" customHeight="1" x14ac:dyDescent="0.2">
      <c r="A157" s="5"/>
      <c r="B157" s="5">
        <v>37</v>
      </c>
      <c r="C157" s="53" t="s">
        <v>278</v>
      </c>
      <c r="D157" s="1"/>
      <c r="E157" s="35">
        <f>SUM(G157:K157)</f>
        <v>0</v>
      </c>
      <c r="G157" s="50"/>
      <c r="H157" s="49"/>
      <c r="I157" s="50"/>
      <c r="J157" s="49"/>
      <c r="K157" s="50"/>
      <c r="L157" s="49"/>
      <c r="M157" s="50"/>
      <c r="N157" s="50"/>
      <c r="O157" s="50"/>
      <c r="P157" s="49"/>
      <c r="Q157" s="50"/>
      <c r="R157" s="47">
        <f t="shared" ref="R157" si="21">E157-M157-O157-Q157</f>
        <v>0</v>
      </c>
      <c r="S157" s="50">
        <f t="shared" ref="S157" si="22">E157-M157-O157+Q157</f>
        <v>0</v>
      </c>
    </row>
    <row r="158" spans="1:19" ht="12.75" customHeight="1" x14ac:dyDescent="0.2">
      <c r="A158" s="5"/>
      <c r="B158" s="5">
        <v>37</v>
      </c>
      <c r="C158" s="1" t="s">
        <v>215</v>
      </c>
      <c r="D158" s="1"/>
      <c r="E158" s="35">
        <f>SUM(G158:K158)</f>
        <v>49852.37</v>
      </c>
      <c r="G158" s="50">
        <v>2903.99</v>
      </c>
      <c r="H158" s="49"/>
      <c r="I158" s="50">
        <v>1373.83</v>
      </c>
      <c r="J158" s="49"/>
      <c r="K158" s="50">
        <v>45574.55</v>
      </c>
      <c r="L158" s="49"/>
      <c r="M158" s="50">
        <v>12135.06</v>
      </c>
      <c r="N158" s="50"/>
      <c r="O158" s="50">
        <v>37637.31</v>
      </c>
      <c r="P158" s="49"/>
      <c r="Q158" s="50">
        <v>-80</v>
      </c>
      <c r="R158" s="47">
        <f t="shared" si="13"/>
        <v>160.00000000000728</v>
      </c>
      <c r="S158" s="50">
        <f t="shared" si="14"/>
        <v>7.2759576141834259E-12</v>
      </c>
    </row>
    <row r="159" spans="1:19" ht="12.75" customHeight="1" x14ac:dyDescent="0.2">
      <c r="A159" s="5"/>
      <c r="B159" s="5"/>
      <c r="C159" s="1" t="s">
        <v>68</v>
      </c>
      <c r="E159" s="52">
        <f>G159+I159+K159</f>
        <v>498.15999999999997</v>
      </c>
      <c r="G159" s="51">
        <v>214.77</v>
      </c>
      <c r="H159" s="49"/>
      <c r="I159" s="51">
        <v>283.39</v>
      </c>
      <c r="J159" s="49"/>
      <c r="K159" s="51"/>
      <c r="L159" s="49"/>
      <c r="M159" s="51"/>
      <c r="N159" s="50"/>
      <c r="O159" s="51">
        <v>498.16</v>
      </c>
      <c r="P159" s="49"/>
      <c r="Q159" s="51"/>
      <c r="R159" s="47">
        <f>E159-M159-O159-Q159</f>
        <v>-5.6843418860808015E-14</v>
      </c>
      <c r="S159" s="50">
        <f t="shared" si="14"/>
        <v>-5.6843418860808015E-14</v>
      </c>
    </row>
    <row r="160" spans="1:19" ht="12.75" customHeight="1" x14ac:dyDescent="0.2">
      <c r="A160" s="5"/>
      <c r="B160" s="5"/>
      <c r="C160" s="1"/>
      <c r="G160" s="50"/>
      <c r="H160" s="49"/>
      <c r="I160" s="50"/>
      <c r="J160" s="49"/>
      <c r="K160" s="50"/>
      <c r="L160" s="49"/>
      <c r="M160" s="50"/>
      <c r="N160" s="50"/>
      <c r="O160" s="50"/>
      <c r="P160" s="49"/>
      <c r="Q160" s="50"/>
      <c r="R160" s="47"/>
      <c r="S160" s="26"/>
    </row>
    <row r="161" spans="1:19" s="68" customFormat="1" ht="12.75" customHeight="1" x14ac:dyDescent="0.2">
      <c r="A161" s="67"/>
      <c r="B161" s="67"/>
      <c r="C161" s="67"/>
      <c r="D161" s="85" t="s">
        <v>2</v>
      </c>
      <c r="E161" s="102">
        <f>G161+I161+K161</f>
        <v>24126939.180000003</v>
      </c>
      <c r="F161" s="99"/>
      <c r="G161" s="98">
        <f>SUM(G118:G134)+SUM(G135:G159)</f>
        <v>708073.5</v>
      </c>
      <c r="H161" s="90"/>
      <c r="I161" s="98">
        <f>SUM(I118:I134)+SUM(I135:I159)</f>
        <v>844872.53</v>
      </c>
      <c r="J161" s="90"/>
      <c r="K161" s="98">
        <f>SUM(K118:K134)+SUM(K135:K159)</f>
        <v>22573993.150000002</v>
      </c>
      <c r="L161" s="84"/>
      <c r="M161" s="51">
        <f>SUM(M118:M134)+SUM(M135:M159)</f>
        <v>12545087.809999999</v>
      </c>
      <c r="N161" s="50"/>
      <c r="O161" s="51">
        <f>SUM(O118:O134)+SUM(O135:O159)</f>
        <v>11574797.119999997</v>
      </c>
      <c r="P161" s="84"/>
      <c r="Q161" s="98">
        <f>SUM(Q118:Q134)+SUM(Q135:Q159)</f>
        <v>-7054.25</v>
      </c>
      <c r="R161" s="100">
        <f t="shared" si="13"/>
        <v>14108.500000007451</v>
      </c>
      <c r="S161" s="90">
        <f>E161-M161-O161+Q161</f>
        <v>7.4505805969238281E-9</v>
      </c>
    </row>
    <row r="162" spans="1:19" ht="12.75" customHeight="1" x14ac:dyDescent="0.2">
      <c r="A162" s="5"/>
      <c r="E162" s="35"/>
      <c r="G162" s="50"/>
      <c r="H162" s="49"/>
      <c r="I162" s="50"/>
      <c r="J162" s="49"/>
      <c r="K162" s="50"/>
      <c r="L162" s="49"/>
      <c r="M162" s="50"/>
      <c r="N162" s="50"/>
      <c r="O162" s="50"/>
      <c r="P162" s="49"/>
      <c r="Q162" s="50"/>
      <c r="R162" s="47"/>
      <c r="S162" s="70"/>
    </row>
    <row r="163" spans="1:19" ht="12.75" customHeight="1" x14ac:dyDescent="0.2">
      <c r="A163" s="5"/>
      <c r="B163" s="1" t="s">
        <v>15</v>
      </c>
      <c r="E163" s="31" t="s">
        <v>19</v>
      </c>
      <c r="R163" s="47">
        <f t="shared" si="13"/>
        <v>0</v>
      </c>
      <c r="S163" s="70"/>
    </row>
    <row r="164" spans="1:19" ht="12.75" customHeight="1" x14ac:dyDescent="0.2">
      <c r="A164" s="34"/>
      <c r="B164" s="5">
        <v>1</v>
      </c>
      <c r="C164" s="1" t="s">
        <v>216</v>
      </c>
      <c r="D164" s="1"/>
      <c r="E164" s="31">
        <f>SUM(G164:K164)</f>
        <v>11461516.689999999</v>
      </c>
      <c r="G164" s="50">
        <v>7833460.9800000004</v>
      </c>
      <c r="H164" s="49"/>
      <c r="I164" s="50">
        <v>3267010.35</v>
      </c>
      <c r="J164" s="49"/>
      <c r="K164" s="50">
        <v>361045.36</v>
      </c>
      <c r="L164" s="49"/>
      <c r="M164" s="50">
        <v>7147134.4000000004</v>
      </c>
      <c r="N164" s="50"/>
      <c r="O164" s="50">
        <v>4307909.29</v>
      </c>
      <c r="P164" s="49"/>
      <c r="Q164" s="50">
        <v>-6473</v>
      </c>
      <c r="R164" s="47">
        <f>E164-M164-O164-Q164</f>
        <v>12945.999999999069</v>
      </c>
      <c r="S164" s="50">
        <f t="shared" ref="S164:S175" si="23">E164-M164-O164+Q164</f>
        <v>-9.3132257461547852E-10</v>
      </c>
    </row>
    <row r="165" spans="1:19" ht="12.75" customHeight="1" x14ac:dyDescent="0.2">
      <c r="A165" s="34"/>
      <c r="B165" s="5">
        <v>2</v>
      </c>
      <c r="C165" s="1" t="s">
        <v>221</v>
      </c>
      <c r="D165" s="1"/>
      <c r="E165" s="31">
        <f>SUM(G165:K165)</f>
        <v>634205.76</v>
      </c>
      <c r="G165" s="50">
        <v>610417.99</v>
      </c>
      <c r="H165" s="49"/>
      <c r="I165" s="50"/>
      <c r="J165" s="49"/>
      <c r="K165" s="50">
        <v>23787.77</v>
      </c>
      <c r="L165" s="49"/>
      <c r="M165" s="50">
        <v>443458.74</v>
      </c>
      <c r="N165" s="50"/>
      <c r="O165" s="50">
        <v>238211.9</v>
      </c>
      <c r="P165" s="49"/>
      <c r="Q165" s="50">
        <v>47464.88</v>
      </c>
      <c r="R165" s="47">
        <f t="shared" si="13"/>
        <v>-94929.75999999998</v>
      </c>
      <c r="S165" s="50">
        <f t="shared" si="23"/>
        <v>0</v>
      </c>
    </row>
    <row r="166" spans="1:19" ht="12.75" customHeight="1" x14ac:dyDescent="0.2">
      <c r="A166" s="34"/>
      <c r="B166" s="5">
        <v>3</v>
      </c>
      <c r="C166" s="1" t="s">
        <v>73</v>
      </c>
      <c r="D166" s="1"/>
      <c r="E166" s="31">
        <f>SUM(G166:K166)</f>
        <v>90992.84</v>
      </c>
      <c r="G166" s="50">
        <v>123316.84</v>
      </c>
      <c r="H166" s="49"/>
      <c r="I166" s="50">
        <v>-32324</v>
      </c>
      <c r="J166" s="49"/>
      <c r="K166" s="50"/>
      <c r="L166" s="49"/>
      <c r="M166" s="50">
        <v>78516.960000000006</v>
      </c>
      <c r="N166" s="50"/>
      <c r="O166" s="50">
        <v>44799.88</v>
      </c>
      <c r="P166" s="49"/>
      <c r="Q166" s="50">
        <v>32324</v>
      </c>
      <c r="R166" s="47">
        <f t="shared" si="13"/>
        <v>-64648.000000000007</v>
      </c>
      <c r="S166" s="50">
        <f t="shared" si="23"/>
        <v>0</v>
      </c>
    </row>
    <row r="167" spans="1:19" ht="12.75" customHeight="1" x14ac:dyDescent="0.2">
      <c r="A167" s="34"/>
      <c r="B167" s="5"/>
      <c r="C167" s="1" t="s">
        <v>228</v>
      </c>
      <c r="D167" s="1"/>
      <c r="E167" s="31">
        <f>SUM(G167:K167)</f>
        <v>117372.07999999999</v>
      </c>
      <c r="G167" s="50">
        <v>83252.67</v>
      </c>
      <c r="H167" s="49"/>
      <c r="I167" s="50">
        <v>619.4</v>
      </c>
      <c r="J167" s="49"/>
      <c r="K167" s="50">
        <v>33500.01</v>
      </c>
      <c r="L167" s="49"/>
      <c r="M167" s="50">
        <v>24508.93</v>
      </c>
      <c r="N167" s="50"/>
      <c r="O167" s="50">
        <v>92509.15</v>
      </c>
      <c r="P167" s="49"/>
      <c r="Q167" s="50">
        <v>-354</v>
      </c>
      <c r="R167" s="47">
        <f t="shared" si="13"/>
        <v>708</v>
      </c>
      <c r="S167" s="50">
        <f t="shared" si="23"/>
        <v>0</v>
      </c>
    </row>
    <row r="168" spans="1:19" ht="12.75" customHeight="1" x14ac:dyDescent="0.2">
      <c r="A168" s="34"/>
      <c r="B168" s="5"/>
      <c r="C168" s="1" t="s">
        <v>256</v>
      </c>
      <c r="D168" s="1"/>
      <c r="E168" s="31">
        <f>SUM(G168:K168)</f>
        <v>5047.3</v>
      </c>
      <c r="G168" s="50">
        <v>5047.3</v>
      </c>
      <c r="H168" s="49"/>
      <c r="I168" s="50"/>
      <c r="J168" s="49"/>
      <c r="K168" s="50"/>
      <c r="L168" s="49"/>
      <c r="M168" s="50"/>
      <c r="N168" s="50"/>
      <c r="O168" s="50">
        <v>5047.3</v>
      </c>
      <c r="P168" s="49"/>
      <c r="Q168" s="50"/>
      <c r="R168" s="47">
        <f t="shared" si="13"/>
        <v>0</v>
      </c>
      <c r="S168" s="50">
        <f t="shared" si="23"/>
        <v>0</v>
      </c>
    </row>
    <row r="169" spans="1:19" ht="12.75" customHeight="1" x14ac:dyDescent="0.2">
      <c r="A169" s="34"/>
      <c r="B169" s="5">
        <v>4</v>
      </c>
      <c r="C169" s="1" t="s">
        <v>74</v>
      </c>
      <c r="D169" s="1"/>
      <c r="E169" s="31">
        <f t="shared" ref="E169:E174" si="24">SUM(G169:K169)</f>
        <v>0</v>
      </c>
      <c r="G169" s="50"/>
      <c r="H169" s="49"/>
      <c r="I169" s="50"/>
      <c r="J169" s="49"/>
      <c r="K169" s="50"/>
      <c r="L169" s="49"/>
      <c r="M169" s="50"/>
      <c r="N169" s="50"/>
      <c r="O169" s="50"/>
      <c r="P169" s="49"/>
      <c r="Q169" s="50"/>
      <c r="R169" s="47">
        <f t="shared" si="13"/>
        <v>0</v>
      </c>
      <c r="S169" s="50">
        <f t="shared" si="23"/>
        <v>0</v>
      </c>
    </row>
    <row r="170" spans="1:19" ht="12.75" customHeight="1" x14ac:dyDescent="0.2">
      <c r="A170" s="34"/>
      <c r="B170" s="5">
        <v>5</v>
      </c>
      <c r="C170" s="1" t="s">
        <v>75</v>
      </c>
      <c r="D170" s="1"/>
      <c r="E170" s="31">
        <f t="shared" si="24"/>
        <v>30199.13</v>
      </c>
      <c r="G170" s="50">
        <v>14282.83</v>
      </c>
      <c r="H170" s="49"/>
      <c r="I170" s="50">
        <v>13818.1</v>
      </c>
      <c r="J170" s="49"/>
      <c r="K170" s="50">
        <v>2098.1999999999998</v>
      </c>
      <c r="L170" s="49"/>
      <c r="M170" s="50">
        <v>25296.19</v>
      </c>
      <c r="N170" s="50"/>
      <c r="O170" s="50">
        <v>4712.29</v>
      </c>
      <c r="P170" s="49"/>
      <c r="Q170" s="50">
        <v>-190.65</v>
      </c>
      <c r="R170" s="47">
        <f t="shared" si="13"/>
        <v>381.30000000000234</v>
      </c>
      <c r="S170" s="50">
        <f t="shared" si="23"/>
        <v>2.3590018827235326E-12</v>
      </c>
    </row>
    <row r="171" spans="1:19" ht="12.75" customHeight="1" x14ac:dyDescent="0.2">
      <c r="A171" s="34"/>
      <c r="B171" s="5">
        <v>6</v>
      </c>
      <c r="C171" s="1" t="s">
        <v>76</v>
      </c>
      <c r="D171" s="1"/>
      <c r="E171" s="31">
        <f t="shared" si="24"/>
        <v>-3108.1099999999997</v>
      </c>
      <c r="G171" s="50">
        <v>1492.08</v>
      </c>
      <c r="H171" s="49"/>
      <c r="I171" s="50">
        <v>-4600.1899999999996</v>
      </c>
      <c r="J171" s="49"/>
      <c r="K171" s="50"/>
      <c r="L171" s="49"/>
      <c r="M171" s="50"/>
      <c r="N171" s="50"/>
      <c r="O171" s="50">
        <v>9676.81</v>
      </c>
      <c r="P171" s="49"/>
      <c r="Q171" s="50">
        <v>12784.92</v>
      </c>
      <c r="R171" s="47">
        <f t="shared" si="13"/>
        <v>-25569.839999999997</v>
      </c>
      <c r="S171" s="50">
        <f t="shared" si="23"/>
        <v>0</v>
      </c>
    </row>
    <row r="172" spans="1:19" ht="12.75" customHeight="1" x14ac:dyDescent="0.2">
      <c r="A172" s="34"/>
      <c r="B172" s="5">
        <v>7</v>
      </c>
      <c r="C172" s="1" t="s">
        <v>77</v>
      </c>
      <c r="D172" s="1"/>
      <c r="E172" s="31">
        <f t="shared" si="24"/>
        <v>-23027.24</v>
      </c>
      <c r="G172" s="50"/>
      <c r="H172" s="49"/>
      <c r="I172" s="50">
        <v>-23027.24</v>
      </c>
      <c r="J172" s="49"/>
      <c r="K172" s="50"/>
      <c r="L172" s="49"/>
      <c r="M172" s="50">
        <v>32743.439999999999</v>
      </c>
      <c r="N172" s="50"/>
      <c r="O172" s="50">
        <v>47599.43</v>
      </c>
      <c r="P172" s="49"/>
      <c r="Q172" s="50">
        <v>103370.11</v>
      </c>
      <c r="R172" s="47">
        <f t="shared" si="13"/>
        <v>-206740.22</v>
      </c>
      <c r="S172" s="50">
        <f t="shared" si="23"/>
        <v>0</v>
      </c>
    </row>
    <row r="173" spans="1:19" ht="12.75" customHeight="1" x14ac:dyDescent="0.2">
      <c r="A173" s="34"/>
      <c r="B173" s="5">
        <v>8</v>
      </c>
      <c r="C173" s="1" t="s">
        <v>78</v>
      </c>
      <c r="D173" s="1"/>
      <c r="E173" s="31">
        <f t="shared" si="24"/>
        <v>30904.92</v>
      </c>
      <c r="G173" s="50">
        <v>30904.92</v>
      </c>
      <c r="H173" s="49"/>
      <c r="I173" s="50"/>
      <c r="J173" s="49"/>
      <c r="K173" s="50"/>
      <c r="L173" s="49"/>
      <c r="M173" s="50">
        <v>7099</v>
      </c>
      <c r="N173" s="50"/>
      <c r="O173" s="50">
        <v>23789.919999999998</v>
      </c>
      <c r="P173" s="49"/>
      <c r="Q173" s="50">
        <v>-16</v>
      </c>
      <c r="R173" s="47">
        <f t="shared" si="13"/>
        <v>32</v>
      </c>
      <c r="S173" s="50">
        <f t="shared" si="23"/>
        <v>0</v>
      </c>
    </row>
    <row r="174" spans="1:19" ht="12.75" customHeight="1" x14ac:dyDescent="0.2">
      <c r="A174" s="34"/>
      <c r="B174" s="5">
        <v>9</v>
      </c>
      <c r="C174" s="1" t="s">
        <v>79</v>
      </c>
      <c r="D174" s="1"/>
      <c r="E174" s="31">
        <f t="shared" si="24"/>
        <v>108093.20999999999</v>
      </c>
      <c r="G174" s="50">
        <v>36187.51</v>
      </c>
      <c r="H174" s="49"/>
      <c r="I174" s="50">
        <v>71905.7</v>
      </c>
      <c r="J174" s="49"/>
      <c r="K174" s="50"/>
      <c r="L174" s="49"/>
      <c r="M174" s="50"/>
      <c r="N174" s="50"/>
      <c r="O174" s="50">
        <v>108093.21</v>
      </c>
      <c r="P174" s="49"/>
      <c r="Q174" s="50"/>
      <c r="R174" s="47">
        <f t="shared" si="13"/>
        <v>-1.4551915228366852E-11</v>
      </c>
      <c r="S174" s="50">
        <f t="shared" si="23"/>
        <v>-1.4551915228366852E-11</v>
      </c>
    </row>
    <row r="175" spans="1:19" ht="12.75" customHeight="1" x14ac:dyDescent="0.2">
      <c r="A175" s="34"/>
      <c r="B175" s="5">
        <v>10</v>
      </c>
      <c r="C175" s="1" t="s">
        <v>80</v>
      </c>
      <c r="D175" s="1"/>
      <c r="E175" s="52">
        <f>G175+I175+K175</f>
        <v>565706.5</v>
      </c>
      <c r="G175" s="51">
        <v>268519.67</v>
      </c>
      <c r="H175" s="49"/>
      <c r="I175" s="51">
        <v>297079.33</v>
      </c>
      <c r="J175" s="49"/>
      <c r="K175" s="51">
        <v>107.5</v>
      </c>
      <c r="L175" s="49"/>
      <c r="M175" s="51">
        <v>386116.83</v>
      </c>
      <c r="N175" s="50"/>
      <c r="O175" s="51">
        <v>595360.31000000006</v>
      </c>
      <c r="P175" s="49"/>
      <c r="Q175" s="51">
        <v>415770.64</v>
      </c>
      <c r="R175" s="47">
        <f>E175-M175-O175-Q175</f>
        <v>-831541.28</v>
      </c>
      <c r="S175" s="50">
        <f t="shared" si="23"/>
        <v>0</v>
      </c>
    </row>
    <row r="176" spans="1:19" ht="12.75" customHeight="1" x14ac:dyDescent="0.2">
      <c r="A176" s="34"/>
      <c r="S176" s="26"/>
    </row>
    <row r="177" spans="1:19" ht="12.75" customHeight="1" x14ac:dyDescent="0.2">
      <c r="A177" s="5"/>
      <c r="B177" s="5"/>
      <c r="C177" s="5"/>
      <c r="D177" s="1" t="s">
        <v>2</v>
      </c>
      <c r="E177" s="6">
        <f>G177+I177+K177</f>
        <v>13017903.080000002</v>
      </c>
      <c r="F177" s="95"/>
      <c r="G177" s="6">
        <f>SUM(G163:G176)</f>
        <v>9006882.790000001</v>
      </c>
      <c r="I177" s="6">
        <f>SUM(I163:I176)</f>
        <v>3590481.45</v>
      </c>
      <c r="K177" s="6">
        <f>SUM(K163:K176)</f>
        <v>420538.84</v>
      </c>
      <c r="M177" s="6">
        <f>SUM(M163:M176)</f>
        <v>8144874.4900000012</v>
      </c>
      <c r="O177" s="6">
        <f>SUM(O163:O176)</f>
        <v>5477709.4900000002</v>
      </c>
      <c r="Q177" s="6">
        <f>SUM(Q163:Q176)</f>
        <v>604680.9</v>
      </c>
      <c r="R177" s="47">
        <f>E177-M177-O177-Q177</f>
        <v>-1209361.7999999993</v>
      </c>
      <c r="S177" s="50">
        <f>E177-M177-O177+Q177</f>
        <v>0</v>
      </c>
    </row>
    <row r="178" spans="1:19" ht="12.75" customHeight="1" x14ac:dyDescent="0.2">
      <c r="A178" s="5"/>
      <c r="B178" s="34"/>
      <c r="F178" s="95"/>
      <c r="S178" s="26"/>
    </row>
    <row r="179" spans="1:19" ht="12.75" customHeight="1" x14ac:dyDescent="0.2">
      <c r="A179" s="5"/>
      <c r="B179" s="5"/>
      <c r="C179" s="5"/>
      <c r="D179" s="1" t="s">
        <v>270</v>
      </c>
      <c r="E179" s="31"/>
      <c r="F179" s="95"/>
      <c r="S179" s="26"/>
    </row>
    <row r="180" spans="1:19" ht="12.75" customHeight="1" x14ac:dyDescent="0.2">
      <c r="A180" s="5"/>
      <c r="B180" s="5"/>
      <c r="C180" s="5"/>
      <c r="D180" s="1" t="s">
        <v>81</v>
      </c>
      <c r="E180" s="6">
        <f>E177+E161+E115</f>
        <v>209102841.83999997</v>
      </c>
      <c r="F180" s="95"/>
      <c r="G180" s="6">
        <f>G177+G161+G115</f>
        <v>86558846.379999995</v>
      </c>
      <c r="I180" s="6">
        <f>I177+I161+I115</f>
        <v>94110332.280000001</v>
      </c>
      <c r="J180" s="7"/>
      <c r="K180" s="6">
        <f>K177+K161+K115</f>
        <v>28433663.18</v>
      </c>
      <c r="M180" s="6">
        <f>M177+M161+M115</f>
        <v>141451019.38</v>
      </c>
      <c r="N180" s="95"/>
      <c r="O180" s="6">
        <f>O177+O161+O115</f>
        <v>70421812.030000001</v>
      </c>
      <c r="Q180" s="6">
        <f>Q177+Q161+Q115</f>
        <v>2769989.57</v>
      </c>
      <c r="R180" s="47">
        <f>E180-M180-O180-Q180</f>
        <v>-5539979.1400000229</v>
      </c>
      <c r="S180" s="50">
        <f>E180-M180-O180+Q180</f>
        <v>-2.2817403078079224E-8</v>
      </c>
    </row>
    <row r="181" spans="1:19" ht="12.75" customHeight="1" x14ac:dyDescent="0.2">
      <c r="A181" s="5"/>
      <c r="B181" s="5"/>
      <c r="C181" s="5"/>
      <c r="D181" s="1"/>
      <c r="E181" s="35"/>
      <c r="F181" s="95"/>
      <c r="G181" s="35"/>
      <c r="I181" s="35"/>
      <c r="K181" s="35"/>
      <c r="M181" s="35"/>
      <c r="O181" s="35"/>
      <c r="Q181" s="35"/>
      <c r="R181" s="47"/>
      <c r="S181" s="26"/>
    </row>
    <row r="182" spans="1:19" ht="12.75" customHeight="1" x14ac:dyDescent="0.2">
      <c r="A182" s="5"/>
      <c r="B182" s="38"/>
      <c r="E182" s="31"/>
      <c r="F182" s="95"/>
      <c r="S182" s="26"/>
    </row>
    <row r="183" spans="1:19" s="68" customFormat="1" ht="12.75" customHeight="1" x14ac:dyDescent="0.2">
      <c r="A183" s="88" t="s">
        <v>257</v>
      </c>
      <c r="B183" s="67"/>
      <c r="C183" s="85"/>
      <c r="D183" s="85"/>
      <c r="E183" s="6">
        <f>SUM(G183:K183)</f>
        <v>3588383.41</v>
      </c>
      <c r="F183" s="95"/>
      <c r="G183" s="6">
        <v>3515974.22</v>
      </c>
      <c r="H183" s="91"/>
      <c r="I183" s="102">
        <v>13566.59</v>
      </c>
      <c r="J183" s="91"/>
      <c r="K183" s="102">
        <v>58842.6</v>
      </c>
      <c r="M183" s="6">
        <v>2276265.5499999998</v>
      </c>
      <c r="N183" s="26"/>
      <c r="O183" s="6">
        <v>1312117.8600000001</v>
      </c>
      <c r="Q183" s="83"/>
      <c r="R183" s="75">
        <f>E183-M183-O183-Q183</f>
        <v>2.3283064365386963E-10</v>
      </c>
      <c r="S183" s="50">
        <f>E183-M183-O183+Q183</f>
        <v>2.3283064365386963E-10</v>
      </c>
    </row>
    <row r="184" spans="1:19" ht="12.75" customHeight="1" x14ac:dyDescent="0.2">
      <c r="A184" s="5"/>
      <c r="B184" s="38"/>
      <c r="E184" s="31"/>
      <c r="F184" s="95"/>
      <c r="S184" s="26"/>
    </row>
    <row r="185" spans="1:19" ht="12.75" customHeight="1" x14ac:dyDescent="0.2">
      <c r="A185" s="38" t="s">
        <v>211</v>
      </c>
      <c r="E185" s="31"/>
      <c r="F185" s="95"/>
      <c r="S185" s="26"/>
    </row>
    <row r="186" spans="1:19" ht="12.75" customHeight="1" x14ac:dyDescent="0.2">
      <c r="A186" s="5"/>
      <c r="B186" s="41" t="s">
        <v>82</v>
      </c>
      <c r="E186" s="31"/>
      <c r="F186" s="95"/>
      <c r="S186" s="26"/>
    </row>
    <row r="187" spans="1:19" ht="12.75" customHeight="1" x14ac:dyDescent="0.2">
      <c r="A187" s="38"/>
      <c r="E187" s="31"/>
      <c r="F187" s="95"/>
      <c r="S187" s="26"/>
    </row>
    <row r="188" spans="1:19" ht="12.75" customHeight="1" x14ac:dyDescent="0.2">
      <c r="A188" s="5"/>
      <c r="B188" s="1" t="s">
        <v>11</v>
      </c>
      <c r="E188" s="52">
        <f>G188+I188+K188</f>
        <v>4255197.63</v>
      </c>
      <c r="G188" s="51">
        <v>4117367.15</v>
      </c>
      <c r="H188" s="49"/>
      <c r="I188" s="51"/>
      <c r="J188" s="49"/>
      <c r="K188" s="51">
        <v>137830.48000000001</v>
      </c>
      <c r="L188" s="49"/>
      <c r="M188" s="51">
        <v>3046544.15</v>
      </c>
      <c r="N188" s="50"/>
      <c r="O188" s="51">
        <v>1206849.8799999999</v>
      </c>
      <c r="P188" s="49"/>
      <c r="Q188" s="51">
        <v>-1803.6</v>
      </c>
      <c r="R188" s="47">
        <f>E188-M188-O188-Q188</f>
        <v>3607.200000000093</v>
      </c>
      <c r="S188" s="50">
        <f>E188-M188-O188+Q188</f>
        <v>9.3223206931725144E-11</v>
      </c>
    </row>
    <row r="189" spans="1:19" ht="12.75" customHeight="1" x14ac:dyDescent="0.2">
      <c r="A189" s="5"/>
      <c r="E189" s="35"/>
      <c r="G189" s="39"/>
      <c r="H189" s="37"/>
      <c r="I189" s="39"/>
      <c r="J189" s="37"/>
      <c r="K189" s="39"/>
      <c r="L189" s="37"/>
      <c r="M189" s="39"/>
      <c r="N189" s="37"/>
      <c r="O189" s="39"/>
      <c r="P189" s="37"/>
      <c r="Q189" s="39"/>
      <c r="S189" s="70"/>
    </row>
    <row r="190" spans="1:19" ht="12.75" customHeight="1" x14ac:dyDescent="0.2">
      <c r="A190" s="5"/>
      <c r="B190" s="1" t="s">
        <v>14</v>
      </c>
      <c r="E190" s="52">
        <f>G190+I190+K190</f>
        <v>350038.82</v>
      </c>
      <c r="G190" s="51">
        <v>5679.7</v>
      </c>
      <c r="H190" s="49"/>
      <c r="I190" s="51">
        <v>92098.96</v>
      </c>
      <c r="J190" s="49"/>
      <c r="K190" s="51">
        <v>252260.16</v>
      </c>
      <c r="L190" s="49"/>
      <c r="M190" s="51">
        <v>211603.74</v>
      </c>
      <c r="N190" s="50"/>
      <c r="O190" s="51">
        <v>138215.07999999999</v>
      </c>
      <c r="P190" s="49"/>
      <c r="Q190" s="51">
        <v>-220</v>
      </c>
      <c r="R190" s="47">
        <f>E190-M190-O190-Q190</f>
        <v>440.0000000000291</v>
      </c>
      <c r="S190" s="50">
        <f>E190-M190-O190+Q190</f>
        <v>2.9103830456733704E-11</v>
      </c>
    </row>
    <row r="191" spans="1:19" ht="15" customHeight="1" x14ac:dyDescent="0.2">
      <c r="A191" s="5"/>
      <c r="B191" s="1"/>
      <c r="E191" s="35"/>
      <c r="G191" s="39"/>
      <c r="H191" s="37"/>
      <c r="I191" s="39"/>
      <c r="J191" s="37"/>
      <c r="K191" s="39"/>
      <c r="L191" s="37"/>
      <c r="M191" s="39"/>
      <c r="N191" s="37"/>
      <c r="O191" s="39"/>
      <c r="P191" s="37"/>
      <c r="Q191" s="39"/>
      <c r="S191" s="26"/>
    </row>
    <row r="192" spans="1:19" ht="15" customHeight="1" x14ac:dyDescent="0.2">
      <c r="A192" s="5"/>
      <c r="B192" s="1" t="s">
        <v>15</v>
      </c>
      <c r="E192" s="52">
        <f>G192+I192+K192</f>
        <v>3257993.6100000003</v>
      </c>
      <c r="G192" s="51">
        <v>2161688.2400000002</v>
      </c>
      <c r="H192" s="49"/>
      <c r="I192" s="51">
        <v>278411.14</v>
      </c>
      <c r="J192" s="49"/>
      <c r="K192" s="51">
        <v>817894.23</v>
      </c>
      <c r="L192" s="49"/>
      <c r="M192" s="51">
        <v>1771401.22</v>
      </c>
      <c r="N192" s="50"/>
      <c r="O192" s="51">
        <v>1481604.61</v>
      </c>
      <c r="P192" s="49"/>
      <c r="Q192" s="51">
        <v>-4987.78</v>
      </c>
      <c r="R192" s="47">
        <f>E192-M192-O192-Q192</f>
        <v>9975.5600000002596</v>
      </c>
      <c r="S192" s="50">
        <f>E192-M192-O192+Q192</f>
        <v>2.610249794088304E-10</v>
      </c>
    </row>
    <row r="193" spans="1:19" ht="15" customHeight="1" x14ac:dyDescent="0.2">
      <c r="A193" s="5"/>
      <c r="B193" s="1"/>
      <c r="E193" s="35"/>
      <c r="G193" s="39"/>
      <c r="H193" s="37"/>
      <c r="I193" s="39"/>
      <c r="J193" s="37"/>
      <c r="K193" s="39"/>
      <c r="L193" s="37"/>
      <c r="M193" s="39"/>
      <c r="N193" s="37"/>
      <c r="O193" s="39"/>
      <c r="P193" s="37"/>
      <c r="Q193" s="39"/>
      <c r="S193" s="26"/>
    </row>
    <row r="194" spans="1:19" ht="12.75" customHeight="1" x14ac:dyDescent="0.2">
      <c r="A194" s="5"/>
      <c r="B194" s="1"/>
      <c r="D194" s="34" t="s">
        <v>218</v>
      </c>
      <c r="E194" s="103"/>
      <c r="F194" s="99"/>
      <c r="G194" s="106"/>
      <c r="H194" s="107"/>
      <c r="I194" s="106"/>
      <c r="J194" s="107"/>
      <c r="K194" s="106"/>
      <c r="L194" s="107"/>
      <c r="M194" s="106"/>
      <c r="N194" s="107"/>
      <c r="O194" s="106"/>
      <c r="P194" s="107"/>
      <c r="Q194" s="106"/>
      <c r="S194" s="26"/>
    </row>
    <row r="195" spans="1:19" s="68" customFormat="1" ht="12.75" customHeight="1" x14ac:dyDescent="0.2">
      <c r="A195" s="89"/>
      <c r="D195" s="87" t="s">
        <v>83</v>
      </c>
      <c r="E195" s="102">
        <f>G195+I195+K195</f>
        <v>7863230.0599999996</v>
      </c>
      <c r="F195" s="99"/>
      <c r="G195" s="102">
        <f>SUM(G188:G192)</f>
        <v>6284735.0899999999</v>
      </c>
      <c r="H195" s="108"/>
      <c r="I195" s="102">
        <f>SUM(I188:I192)</f>
        <v>370510.10000000003</v>
      </c>
      <c r="J195" s="102"/>
      <c r="K195" s="102">
        <f>SUM(K188:K192)</f>
        <v>1207984.8700000001</v>
      </c>
      <c r="L195" s="108"/>
      <c r="M195" s="102">
        <f>SUM(M188:M192)</f>
        <v>5029549.1099999994</v>
      </c>
      <c r="N195" s="108"/>
      <c r="O195" s="102">
        <f>SUM(O188:O192)</f>
        <v>2826669.5700000003</v>
      </c>
      <c r="P195" s="107"/>
      <c r="Q195" s="102">
        <f>SUM(Q188:Q192)</f>
        <v>-7011.3799999999992</v>
      </c>
      <c r="R195" s="75">
        <f>E195-M195-O195-Q195</f>
        <v>14022.759999999887</v>
      </c>
      <c r="S195" s="50">
        <f>E195-M195-O195+Q195</f>
        <v>-1.1095835361629725E-10</v>
      </c>
    </row>
    <row r="196" spans="1:19" ht="12.75" customHeight="1" x14ac:dyDescent="0.2">
      <c r="A196" s="38"/>
      <c r="E196" s="31"/>
      <c r="S196" s="26"/>
    </row>
    <row r="197" spans="1:19" ht="12.75" customHeight="1" x14ac:dyDescent="0.2">
      <c r="A197" s="5"/>
      <c r="B197" s="38"/>
      <c r="E197" s="31"/>
    </row>
    <row r="198" spans="1:19" s="68" customFormat="1" ht="12.75" customHeight="1" x14ac:dyDescent="0.2">
      <c r="A198" s="89" t="s">
        <v>258</v>
      </c>
      <c r="B198" s="67"/>
      <c r="C198" s="85"/>
      <c r="D198" s="85"/>
      <c r="E198" s="102">
        <f>SUM(G198:K198)</f>
        <v>613573.64</v>
      </c>
      <c r="F198" s="99"/>
      <c r="G198" s="102">
        <v>499566.61</v>
      </c>
      <c r="H198" s="91"/>
      <c r="I198" s="102">
        <v>6252.98</v>
      </c>
      <c r="J198" s="91"/>
      <c r="K198" s="102">
        <v>107754.05</v>
      </c>
      <c r="L198" s="91"/>
      <c r="M198" s="102">
        <v>373453.54</v>
      </c>
      <c r="N198" s="91"/>
      <c r="O198" s="102">
        <v>239956.1</v>
      </c>
      <c r="P198" s="91"/>
      <c r="Q198" s="102">
        <v>-164</v>
      </c>
      <c r="R198" s="75">
        <f>E198-M198-O198-Q198</f>
        <v>328.0000000000291</v>
      </c>
      <c r="S198" s="90">
        <f>E198-M198-O198+Q198</f>
        <v>2.9103830456733704E-11</v>
      </c>
    </row>
    <row r="199" spans="1:19" ht="12.75" customHeight="1" x14ac:dyDescent="0.2">
      <c r="A199" s="5"/>
      <c r="B199" s="38"/>
      <c r="E199" s="105"/>
      <c r="F199" s="99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S199" s="91"/>
    </row>
    <row r="200" spans="1:19" ht="12.75" customHeight="1" x14ac:dyDescent="0.2">
      <c r="A200" s="38" t="s">
        <v>245</v>
      </c>
      <c r="E200" s="105"/>
      <c r="F200" s="99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S200" s="91"/>
    </row>
    <row r="201" spans="1:19" ht="12.75" customHeight="1" x14ac:dyDescent="0.2">
      <c r="A201" s="38"/>
      <c r="E201" s="105"/>
      <c r="F201" s="99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S201" s="91"/>
    </row>
    <row r="202" spans="1:19" s="68" customFormat="1" ht="12.75" customHeight="1" x14ac:dyDescent="0.2">
      <c r="A202" s="89"/>
      <c r="B202" s="85" t="s">
        <v>14</v>
      </c>
      <c r="D202" s="87"/>
      <c r="E202" s="104">
        <f>G202+I202+K202</f>
        <v>29299764.460000001</v>
      </c>
      <c r="F202" s="99"/>
      <c r="G202" s="98">
        <v>2572369.0299999998</v>
      </c>
      <c r="H202" s="90"/>
      <c r="I202" s="98">
        <v>1705145.57</v>
      </c>
      <c r="J202" s="90"/>
      <c r="K202" s="98">
        <v>25022249.859999999</v>
      </c>
      <c r="L202" s="90"/>
      <c r="M202" s="98">
        <v>10449211.220000001</v>
      </c>
      <c r="N202" s="90"/>
      <c r="O202" s="98">
        <v>19053562.52</v>
      </c>
      <c r="P202" s="90"/>
      <c r="Q202" s="98">
        <v>203009.28</v>
      </c>
      <c r="R202" s="75">
        <f>E202-M202-O202-Q202</f>
        <v>-406018.55999999749</v>
      </c>
      <c r="S202" s="90">
        <f>E202-M202-O202+Q202</f>
        <v>2.5320332497358322E-9</v>
      </c>
    </row>
    <row r="203" spans="1:19" ht="12.75" customHeight="1" x14ac:dyDescent="0.2">
      <c r="A203" s="38"/>
      <c r="D203" s="34"/>
      <c r="E203" s="31"/>
      <c r="S203" s="91"/>
    </row>
    <row r="204" spans="1:19" ht="12.75" customHeight="1" x14ac:dyDescent="0.2">
      <c r="A204" s="32" t="s">
        <v>84</v>
      </c>
      <c r="S204" s="91"/>
    </row>
    <row r="205" spans="1:19" ht="12.75" customHeight="1" x14ac:dyDescent="0.2">
      <c r="A205" s="34"/>
      <c r="S205" s="91"/>
    </row>
    <row r="206" spans="1:19" ht="12.75" customHeight="1" x14ac:dyDescent="0.2">
      <c r="A206" s="5"/>
      <c r="B206" s="1" t="s">
        <v>14</v>
      </c>
      <c r="E206" s="52">
        <f>G206+I206+K206</f>
        <v>63768.600000000006</v>
      </c>
      <c r="G206" s="51">
        <v>50476.800000000003</v>
      </c>
      <c r="H206" s="49"/>
      <c r="I206" s="51">
        <v>13291.8</v>
      </c>
      <c r="J206" s="49"/>
      <c r="K206" s="51"/>
      <c r="L206" s="49"/>
      <c r="M206" s="51">
        <v>55053.03</v>
      </c>
      <c r="N206" s="50"/>
      <c r="O206" s="51">
        <v>8715.57</v>
      </c>
      <c r="P206" s="49"/>
      <c r="Q206" s="51"/>
      <c r="R206" s="47">
        <f>E206-M206-O206-Q206</f>
        <v>7.2759576141834259E-12</v>
      </c>
      <c r="S206" s="90">
        <f>E206-M206-O206+Q206</f>
        <v>7.2759576141834259E-12</v>
      </c>
    </row>
    <row r="207" spans="1:19" ht="12.75" customHeight="1" x14ac:dyDescent="0.2">
      <c r="A207" s="34"/>
      <c r="S207" s="91"/>
    </row>
    <row r="208" spans="1:19" ht="12.75" customHeight="1" x14ac:dyDescent="0.2">
      <c r="A208" s="5"/>
      <c r="B208" s="1" t="s">
        <v>15</v>
      </c>
      <c r="E208" s="52">
        <f>G208+I208+K208</f>
        <v>2022496.6</v>
      </c>
      <c r="G208" s="51">
        <v>1411369.58</v>
      </c>
      <c r="H208" s="49"/>
      <c r="I208" s="51">
        <v>592895.92000000004</v>
      </c>
      <c r="J208" s="49"/>
      <c r="K208" s="51">
        <v>18231.099999999999</v>
      </c>
      <c r="L208" s="49"/>
      <c r="M208" s="51">
        <v>1309628.1399999999</v>
      </c>
      <c r="N208" s="50"/>
      <c r="O208" s="51">
        <v>712828.46</v>
      </c>
      <c r="P208" s="49"/>
      <c r="Q208" s="51">
        <v>-40</v>
      </c>
      <c r="R208" s="47">
        <f>E208-M208-O208-Q208</f>
        <v>80.000000000232831</v>
      </c>
      <c r="S208" s="90">
        <f>E208-M208-O208+Q208</f>
        <v>2.3283064365386963E-10</v>
      </c>
    </row>
    <row r="209" spans="1:19" ht="12.75" customHeight="1" x14ac:dyDescent="0.2">
      <c r="A209" s="34"/>
      <c r="O209" s="26" t="s">
        <v>229</v>
      </c>
      <c r="S209" s="91"/>
    </row>
    <row r="210" spans="1:19" s="68" customFormat="1" ht="12.75" customHeight="1" x14ac:dyDescent="0.2">
      <c r="A210" s="67"/>
      <c r="C210" s="67"/>
      <c r="D210" s="87" t="s">
        <v>85</v>
      </c>
      <c r="E210" s="102">
        <f>G210+I210+K210</f>
        <v>2086265.2000000002</v>
      </c>
      <c r="F210" s="99"/>
      <c r="G210" s="102">
        <f>SUM(G206:G208)</f>
        <v>1461846.3800000001</v>
      </c>
      <c r="H210" s="91"/>
      <c r="I210" s="102">
        <f>SUM(I206:I208)</f>
        <v>606187.72000000009</v>
      </c>
      <c r="J210" s="91"/>
      <c r="K210" s="102">
        <f>SUM(K206:K208)</f>
        <v>18231.099999999999</v>
      </c>
      <c r="M210" s="6">
        <f>SUM(M206:M208)</f>
        <v>1364681.17</v>
      </c>
      <c r="N210" s="26"/>
      <c r="O210" s="6">
        <f>SUM(O206:O208)</f>
        <v>721544.02999999991</v>
      </c>
      <c r="Q210" s="102">
        <f>SUM(Q206:Q208)</f>
        <v>-40</v>
      </c>
      <c r="R210" s="100">
        <f>E210-M210-O210-Q210</f>
        <v>80.000000000349246</v>
      </c>
      <c r="S210" s="90">
        <f>E210-M210-O210+Q210</f>
        <v>3.4924596548080444E-10</v>
      </c>
    </row>
    <row r="211" spans="1:19" ht="12.75" customHeight="1" x14ac:dyDescent="0.2">
      <c r="A211" s="38"/>
      <c r="S211" s="78"/>
    </row>
    <row r="212" spans="1:19" ht="12.75" customHeight="1" x14ac:dyDescent="0.2">
      <c r="A212" s="32" t="s">
        <v>92</v>
      </c>
      <c r="S212" s="78"/>
    </row>
    <row r="213" spans="1:19" ht="12.75" customHeight="1" x14ac:dyDescent="0.2">
      <c r="A213" s="34"/>
      <c r="S213" s="78"/>
    </row>
    <row r="214" spans="1:19" ht="12.75" customHeight="1" x14ac:dyDescent="0.2">
      <c r="A214" s="5"/>
      <c r="B214" s="1" t="s">
        <v>11</v>
      </c>
      <c r="S214" s="78"/>
    </row>
    <row r="215" spans="1:19" ht="12.75" customHeight="1" x14ac:dyDescent="0.2">
      <c r="A215" s="5"/>
      <c r="B215" s="5">
        <v>3</v>
      </c>
      <c r="C215" s="1" t="s">
        <v>110</v>
      </c>
      <c r="D215" s="1"/>
      <c r="E215" s="31">
        <f>SUM(G215:K215)</f>
        <v>1471.37</v>
      </c>
      <c r="G215" s="50">
        <v>1471.37</v>
      </c>
      <c r="H215" s="49"/>
      <c r="I215" s="50"/>
      <c r="J215" s="49"/>
      <c r="K215" s="50"/>
      <c r="L215" s="49"/>
      <c r="M215" s="50"/>
      <c r="N215" s="50"/>
      <c r="O215" s="50">
        <v>1471.37</v>
      </c>
      <c r="P215" s="49"/>
      <c r="Q215" s="50"/>
      <c r="R215" s="47">
        <f>E215-M215-O215-Q215</f>
        <v>0</v>
      </c>
      <c r="S215" s="90">
        <f t="shared" ref="S215:S224" si="25">E215-M215-O215+Q215</f>
        <v>0</v>
      </c>
    </row>
    <row r="216" spans="1:19" ht="12.75" customHeight="1" x14ac:dyDescent="0.2">
      <c r="A216" s="5"/>
      <c r="B216" s="5">
        <v>3</v>
      </c>
      <c r="C216" s="1" t="s">
        <v>93</v>
      </c>
      <c r="D216" s="1"/>
      <c r="E216" s="31">
        <f>SUM(G216:K216)</f>
        <v>1392654.09</v>
      </c>
      <c r="G216" s="50">
        <v>713370.09</v>
      </c>
      <c r="H216" s="49"/>
      <c r="I216" s="50">
        <v>218318.29</v>
      </c>
      <c r="J216" s="49"/>
      <c r="K216" s="50">
        <v>460965.71</v>
      </c>
      <c r="L216" s="49"/>
      <c r="M216" s="50">
        <v>837259.27</v>
      </c>
      <c r="N216" s="50"/>
      <c r="O216" s="50">
        <v>620334.56000000006</v>
      </c>
      <c r="P216" s="49"/>
      <c r="Q216" s="50">
        <v>64939.74</v>
      </c>
      <c r="R216" s="47">
        <f>E216-M216-O216-Q216</f>
        <v>-129879.47999999998</v>
      </c>
      <c r="S216" s="90">
        <f t="shared" si="25"/>
        <v>0</v>
      </c>
    </row>
    <row r="217" spans="1:19" ht="12.75" customHeight="1" x14ac:dyDescent="0.2">
      <c r="A217" s="5"/>
      <c r="B217" s="5">
        <v>4</v>
      </c>
      <c r="C217" s="1" t="s">
        <v>94</v>
      </c>
      <c r="D217" s="1"/>
      <c r="E217" s="31">
        <f>SUM(G217:K217)</f>
        <v>0</v>
      </c>
      <c r="G217" s="50"/>
      <c r="H217" s="49"/>
      <c r="I217" s="50"/>
      <c r="J217" s="49"/>
      <c r="K217" s="50"/>
      <c r="L217" s="49"/>
      <c r="M217" s="50"/>
      <c r="N217" s="50"/>
      <c r="O217" s="50"/>
      <c r="P217" s="49"/>
      <c r="Q217" s="50"/>
      <c r="R217" s="47">
        <f t="shared" ref="R217:R223" si="26">E217-M217-O217-Q217</f>
        <v>0</v>
      </c>
      <c r="S217" s="90">
        <f t="shared" si="25"/>
        <v>0</v>
      </c>
    </row>
    <row r="218" spans="1:19" ht="12.75" customHeight="1" x14ac:dyDescent="0.2">
      <c r="A218" s="5"/>
      <c r="B218" s="5">
        <v>5</v>
      </c>
      <c r="C218" s="1" t="s">
        <v>95</v>
      </c>
      <c r="D218" s="1"/>
      <c r="E218" s="31">
        <f>SUM(G218:K218)</f>
        <v>949599.19000000006</v>
      </c>
      <c r="G218" s="50">
        <v>849945.18</v>
      </c>
      <c r="H218" s="49"/>
      <c r="I218" s="50">
        <v>99654.01</v>
      </c>
      <c r="J218" s="49"/>
      <c r="K218" s="50"/>
      <c r="L218" s="49"/>
      <c r="M218" s="50">
        <v>566310.06999999995</v>
      </c>
      <c r="N218" s="50"/>
      <c r="O218" s="50">
        <v>383225.12</v>
      </c>
      <c r="P218" s="49"/>
      <c r="Q218" s="50">
        <v>-64</v>
      </c>
      <c r="R218" s="47">
        <f t="shared" si="26"/>
        <v>128.00000000011642</v>
      </c>
      <c r="S218" s="90">
        <f t="shared" si="25"/>
        <v>1.1641532182693481E-10</v>
      </c>
    </row>
    <row r="219" spans="1:19" ht="12.75" customHeight="1" x14ac:dyDescent="0.2">
      <c r="A219" s="5"/>
      <c r="B219" s="5">
        <v>6</v>
      </c>
      <c r="C219" s="1" t="s">
        <v>96</v>
      </c>
      <c r="D219" s="1"/>
      <c r="G219" s="50"/>
      <c r="H219" s="49"/>
      <c r="I219" s="50"/>
      <c r="J219" s="49"/>
      <c r="K219" s="50"/>
      <c r="L219" s="49"/>
      <c r="M219" s="50"/>
      <c r="N219" s="50"/>
      <c r="O219" s="50"/>
      <c r="P219" s="49"/>
      <c r="Q219" s="50"/>
      <c r="R219" s="47">
        <f t="shared" si="26"/>
        <v>0</v>
      </c>
      <c r="S219" s="90">
        <f t="shared" si="25"/>
        <v>0</v>
      </c>
    </row>
    <row r="220" spans="1:19" ht="12.75" customHeight="1" x14ac:dyDescent="0.2">
      <c r="A220" s="5"/>
      <c r="B220" s="5">
        <v>7</v>
      </c>
      <c r="C220" s="5"/>
      <c r="D220" s="1" t="s">
        <v>97</v>
      </c>
      <c r="E220" s="31">
        <f>SUM(G220:K220)</f>
        <v>18645.400000000001</v>
      </c>
      <c r="G220" s="50">
        <v>18645.400000000001</v>
      </c>
      <c r="H220" s="49"/>
      <c r="I220" s="50" t="s">
        <v>19</v>
      </c>
      <c r="J220" s="49"/>
      <c r="K220" s="50" t="s">
        <v>19</v>
      </c>
      <c r="L220" s="49"/>
      <c r="M220" s="50">
        <v>8170.8</v>
      </c>
      <c r="N220" s="50"/>
      <c r="O220" s="50">
        <v>10474.6</v>
      </c>
      <c r="P220" s="49"/>
      <c r="Q220" s="50"/>
      <c r="R220" s="47">
        <f t="shared" si="26"/>
        <v>1.8189894035458565E-12</v>
      </c>
      <c r="S220" s="90">
        <f t="shared" si="25"/>
        <v>1.8189894035458565E-12</v>
      </c>
    </row>
    <row r="221" spans="1:19" ht="12.75" customHeight="1" x14ac:dyDescent="0.2">
      <c r="A221" s="5"/>
      <c r="B221" s="5">
        <v>8</v>
      </c>
      <c r="C221" s="1" t="s">
        <v>98</v>
      </c>
      <c r="D221" s="1"/>
      <c r="E221" s="31">
        <f>SUM(G221:K221)</f>
        <v>0</v>
      </c>
      <c r="G221" s="50"/>
      <c r="H221" s="49"/>
      <c r="I221" s="50"/>
      <c r="J221" s="49"/>
      <c r="K221" s="50"/>
      <c r="L221" s="49"/>
      <c r="M221" s="50"/>
      <c r="N221" s="50"/>
      <c r="O221" s="50"/>
      <c r="P221" s="49"/>
      <c r="Q221" s="50"/>
      <c r="R221" s="47">
        <f t="shared" si="26"/>
        <v>0</v>
      </c>
      <c r="S221" s="90">
        <f t="shared" si="25"/>
        <v>0</v>
      </c>
    </row>
    <row r="222" spans="1:19" ht="12.75" customHeight="1" x14ac:dyDescent="0.2">
      <c r="A222" s="5"/>
      <c r="B222" s="5">
        <v>9</v>
      </c>
      <c r="C222" s="1" t="s">
        <v>99</v>
      </c>
      <c r="D222" s="1"/>
      <c r="E222" s="31">
        <f>SUM(G222:K222)</f>
        <v>-498500.83</v>
      </c>
      <c r="G222" s="50"/>
      <c r="H222" s="49"/>
      <c r="I222" s="50">
        <v>-498500.83</v>
      </c>
      <c r="J222" s="49"/>
      <c r="K222" s="50"/>
      <c r="L222" s="49"/>
      <c r="M222" s="50"/>
      <c r="N222" s="50"/>
      <c r="O222" s="50">
        <v>-498500.83</v>
      </c>
      <c r="P222" s="49"/>
      <c r="Q222" s="50"/>
      <c r="R222" s="47">
        <f t="shared" si="26"/>
        <v>0</v>
      </c>
      <c r="S222" s="90">
        <f t="shared" si="25"/>
        <v>0</v>
      </c>
    </row>
    <row r="223" spans="1:19" ht="12.75" customHeight="1" x14ac:dyDescent="0.2">
      <c r="A223" s="5"/>
      <c r="B223" s="5">
        <v>10</v>
      </c>
      <c r="C223" s="1" t="s">
        <v>100</v>
      </c>
      <c r="D223" s="1"/>
      <c r="E223" s="31">
        <f>SUM(G223:K223)</f>
        <v>187020.07</v>
      </c>
      <c r="G223" s="50">
        <v>51993.38</v>
      </c>
      <c r="H223" s="49"/>
      <c r="I223" s="50">
        <v>100226.96</v>
      </c>
      <c r="J223" s="49"/>
      <c r="K223" s="50">
        <v>34799.730000000003</v>
      </c>
      <c r="L223" s="49"/>
      <c r="M223" s="50">
        <v>163236.95000000001</v>
      </c>
      <c r="N223" s="50"/>
      <c r="O223" s="50">
        <v>23783.119999999999</v>
      </c>
      <c r="P223" s="49"/>
      <c r="Q223" s="50"/>
      <c r="R223" s="47">
        <f t="shared" si="26"/>
        <v>-3.637978807091713E-12</v>
      </c>
      <c r="S223" s="90">
        <f t="shared" si="25"/>
        <v>-3.637978807091713E-12</v>
      </c>
    </row>
    <row r="224" spans="1:19" ht="12.75" customHeight="1" x14ac:dyDescent="0.2">
      <c r="A224" s="5"/>
      <c r="B224" s="5">
        <v>11</v>
      </c>
      <c r="C224" s="1" t="s">
        <v>101</v>
      </c>
      <c r="D224" s="1"/>
      <c r="E224" s="52">
        <f>G224+I224+K224</f>
        <v>0</v>
      </c>
      <c r="G224" s="51"/>
      <c r="H224" s="49"/>
      <c r="I224" s="51"/>
      <c r="J224" s="49"/>
      <c r="K224" s="51"/>
      <c r="L224" s="49"/>
      <c r="M224" s="51"/>
      <c r="N224" s="50"/>
      <c r="O224" s="51"/>
      <c r="P224" s="49"/>
      <c r="Q224" s="51">
        <v>0</v>
      </c>
      <c r="R224" s="47">
        <f>E224-M224-O224-Q224</f>
        <v>0</v>
      </c>
      <c r="S224" s="90">
        <f t="shared" si="25"/>
        <v>0</v>
      </c>
    </row>
    <row r="225" spans="1:19" ht="12.75" customHeight="1" x14ac:dyDescent="0.2">
      <c r="A225" s="5"/>
      <c r="B225" s="34"/>
      <c r="S225" s="91"/>
    </row>
    <row r="226" spans="1:19" s="68" customFormat="1" ht="12.75" customHeight="1" x14ac:dyDescent="0.2">
      <c r="A226" s="67"/>
      <c r="B226" s="67"/>
      <c r="C226" s="67"/>
      <c r="D226" s="85" t="s">
        <v>2</v>
      </c>
      <c r="E226" s="102">
        <f>G226+I226+K226</f>
        <v>2050889.2899999998</v>
      </c>
      <c r="F226" s="99"/>
      <c r="G226" s="102">
        <f>SUM(G215:G225)</f>
        <v>1635425.42</v>
      </c>
      <c r="H226" s="91"/>
      <c r="I226" s="102">
        <f>SUM(I215:I225)</f>
        <v>-80301.570000000022</v>
      </c>
      <c r="J226" s="91"/>
      <c r="K226" s="102">
        <f>SUM(K215:K225)</f>
        <v>495765.44</v>
      </c>
      <c r="M226" s="6">
        <f>SUM(M215:M225)</f>
        <v>1574977.0899999999</v>
      </c>
      <c r="N226" s="26"/>
      <c r="O226" s="6">
        <f>SUM(O215:O225)</f>
        <v>540787.94000000006</v>
      </c>
      <c r="Q226" s="102">
        <f>SUM(Q215:Q225)</f>
        <v>64875.74</v>
      </c>
      <c r="R226" s="100">
        <f>E226-M226-O226-Q226</f>
        <v>-129751.4800000001</v>
      </c>
      <c r="S226" s="90">
        <f>E226-M226-O226+Q226</f>
        <v>-1.0913936421275139E-10</v>
      </c>
    </row>
    <row r="227" spans="1:19" ht="12.75" customHeight="1" x14ac:dyDescent="0.2">
      <c r="A227" s="5"/>
      <c r="B227" s="1"/>
      <c r="E227" s="35"/>
      <c r="G227" s="35"/>
      <c r="I227" s="35"/>
      <c r="K227" s="35"/>
      <c r="M227" s="35"/>
      <c r="O227" s="35"/>
      <c r="Q227" s="35"/>
      <c r="S227" s="91"/>
    </row>
    <row r="228" spans="1:19" ht="12.75" customHeight="1" x14ac:dyDescent="0.2">
      <c r="A228" s="5"/>
      <c r="B228" s="1" t="s">
        <v>14</v>
      </c>
      <c r="E228" s="35"/>
      <c r="G228" s="35"/>
      <c r="I228" s="35"/>
      <c r="K228" s="35"/>
      <c r="M228" s="35"/>
      <c r="O228" s="35"/>
      <c r="Q228" s="35"/>
      <c r="S228" s="91"/>
    </row>
    <row r="229" spans="1:19" ht="12.75" customHeight="1" x14ac:dyDescent="0.2">
      <c r="A229" s="5"/>
      <c r="B229" s="1"/>
      <c r="C229" s="1" t="s">
        <v>271</v>
      </c>
      <c r="E229" s="31">
        <f>SUM(G229:K229)</f>
        <v>12907.48</v>
      </c>
      <c r="G229" s="50"/>
      <c r="H229" s="49"/>
      <c r="I229" s="50">
        <v>12907.48</v>
      </c>
      <c r="J229" s="49"/>
      <c r="K229" s="50"/>
      <c r="L229" s="49"/>
      <c r="M229" s="50"/>
      <c r="N229" s="50"/>
      <c r="O229" s="50">
        <v>12907.48</v>
      </c>
      <c r="P229" s="49"/>
      <c r="Q229" s="50"/>
      <c r="R229" s="47">
        <f t="shared" ref="R229:R251" si="27">E229-M229-O229-Q229</f>
        <v>0</v>
      </c>
      <c r="S229" s="90">
        <f t="shared" ref="S229:S252" si="28">E229-M229-O229+Q229</f>
        <v>0</v>
      </c>
    </row>
    <row r="230" spans="1:19" ht="12.75" customHeight="1" x14ac:dyDescent="0.2">
      <c r="A230" s="5"/>
      <c r="B230" s="34"/>
      <c r="C230" s="1" t="s">
        <v>102</v>
      </c>
      <c r="E230" s="31">
        <f>SUM(G230:K230)</f>
        <v>517736.92000000004</v>
      </c>
      <c r="G230" s="50">
        <v>189672.91</v>
      </c>
      <c r="H230" s="49"/>
      <c r="I230" s="50">
        <v>12939.67</v>
      </c>
      <c r="J230" s="49"/>
      <c r="K230" s="50">
        <v>315124.34000000003</v>
      </c>
      <c r="L230" s="49"/>
      <c r="M230" s="50">
        <v>294423.2</v>
      </c>
      <c r="N230" s="50"/>
      <c r="O230" s="50">
        <v>223107.22</v>
      </c>
      <c r="P230" s="49"/>
      <c r="Q230" s="50">
        <v>-206.5</v>
      </c>
      <c r="R230" s="47">
        <f t="shared" si="27"/>
        <v>413.0000000000291</v>
      </c>
      <c r="S230" s="90">
        <f t="shared" si="28"/>
        <v>2.9103830456733704E-11</v>
      </c>
    </row>
    <row r="231" spans="1:19" ht="12.75" customHeight="1" x14ac:dyDescent="0.2">
      <c r="A231" s="5"/>
      <c r="B231" s="34"/>
      <c r="C231" s="1" t="s">
        <v>249</v>
      </c>
      <c r="E231" s="31">
        <f>SUM(G231:K231)</f>
        <v>0</v>
      </c>
      <c r="G231" s="50"/>
      <c r="H231" s="49"/>
      <c r="I231" s="50"/>
      <c r="J231" s="49"/>
      <c r="K231" s="50"/>
      <c r="L231" s="49"/>
      <c r="M231" s="50"/>
      <c r="N231" s="50"/>
      <c r="O231" s="50"/>
      <c r="P231" s="49"/>
      <c r="Q231" s="50"/>
      <c r="R231" s="47">
        <f t="shared" si="27"/>
        <v>0</v>
      </c>
      <c r="S231" s="90">
        <f t="shared" si="28"/>
        <v>0</v>
      </c>
    </row>
    <row r="232" spans="1:19" ht="12.75" customHeight="1" x14ac:dyDescent="0.2">
      <c r="A232" s="5"/>
      <c r="B232" s="34"/>
      <c r="C232" s="1" t="s">
        <v>264</v>
      </c>
      <c r="E232" s="31">
        <f>SUM(G232:K232)</f>
        <v>6703689.9000000004</v>
      </c>
      <c r="G232" s="50">
        <v>935927.41</v>
      </c>
      <c r="H232" s="49"/>
      <c r="I232" s="50">
        <v>393623.3</v>
      </c>
      <c r="J232" s="49"/>
      <c r="K232" s="50">
        <v>5374139.1900000004</v>
      </c>
      <c r="L232" s="49"/>
      <c r="M232" s="50">
        <v>3466646.15</v>
      </c>
      <c r="N232" s="50"/>
      <c r="O232" s="50">
        <v>3372306.57</v>
      </c>
      <c r="P232" s="49"/>
      <c r="Q232" s="50">
        <v>135262.82</v>
      </c>
      <c r="R232" s="47">
        <f>E232-M232-O232-Q232</f>
        <v>-270525.63999999937</v>
      </c>
      <c r="S232" s="90">
        <f t="shared" si="28"/>
        <v>6.4028427004814148E-10</v>
      </c>
    </row>
    <row r="233" spans="1:19" ht="12.75" customHeight="1" x14ac:dyDescent="0.2">
      <c r="A233" s="5"/>
      <c r="B233" s="34"/>
      <c r="C233" s="1" t="s">
        <v>268</v>
      </c>
      <c r="E233" s="31">
        <f>SUM(G233:K233)</f>
        <v>1715005.03</v>
      </c>
      <c r="G233" s="50">
        <v>1283606.83</v>
      </c>
      <c r="H233" s="49"/>
      <c r="I233" s="50">
        <v>431139</v>
      </c>
      <c r="J233" s="49"/>
      <c r="K233" s="50">
        <v>259.2</v>
      </c>
      <c r="L233" s="49"/>
      <c r="M233" s="50">
        <v>1001828.55</v>
      </c>
      <c r="N233" s="50"/>
      <c r="O233" s="50">
        <v>703098.76</v>
      </c>
      <c r="P233" s="49"/>
      <c r="Q233" s="50">
        <v>-10077.719999999999</v>
      </c>
      <c r="R233" s="47">
        <f>E233-M233-O233-Q233</f>
        <v>20155.439999999973</v>
      </c>
      <c r="S233" s="90">
        <f t="shared" si="28"/>
        <v>-2.7284841053187847E-11</v>
      </c>
    </row>
    <row r="234" spans="1:19" ht="12.75" customHeight="1" x14ac:dyDescent="0.2">
      <c r="A234" s="5"/>
      <c r="B234" s="34">
        <v>2</v>
      </c>
      <c r="C234" s="1" t="s">
        <v>103</v>
      </c>
      <c r="D234" s="1"/>
      <c r="G234" s="50"/>
      <c r="H234" s="49"/>
      <c r="I234" s="50"/>
      <c r="J234" s="49"/>
      <c r="K234" s="50"/>
      <c r="L234" s="49"/>
      <c r="M234" s="50"/>
      <c r="N234" s="50"/>
      <c r="O234" s="50"/>
      <c r="P234" s="49"/>
      <c r="Q234" s="50"/>
      <c r="R234" s="47">
        <f t="shared" si="27"/>
        <v>0</v>
      </c>
      <c r="S234" s="90">
        <f t="shared" si="28"/>
        <v>0</v>
      </c>
    </row>
    <row r="235" spans="1:19" ht="12.75" customHeight="1" x14ac:dyDescent="0.2">
      <c r="A235" s="5"/>
      <c r="B235" s="34">
        <v>3</v>
      </c>
      <c r="C235" s="5"/>
      <c r="D235" s="1" t="s">
        <v>104</v>
      </c>
      <c r="E235" s="31">
        <f>SUM(G235:K235)</f>
        <v>6262510.5700000003</v>
      </c>
      <c r="F235" s="42"/>
      <c r="G235" s="50">
        <v>1235587.0900000001</v>
      </c>
      <c r="H235" s="49"/>
      <c r="I235" s="50">
        <v>632819.67000000004</v>
      </c>
      <c r="J235" s="49"/>
      <c r="K235" s="50">
        <v>4394103.8099999996</v>
      </c>
      <c r="L235" s="49"/>
      <c r="M235" s="50">
        <v>3067915.5</v>
      </c>
      <c r="N235" s="50"/>
      <c r="O235" s="50">
        <v>3229200.35</v>
      </c>
      <c r="P235" s="49"/>
      <c r="Q235" s="50">
        <v>34605.279999999999</v>
      </c>
      <c r="R235" s="47">
        <f t="shared" si="27"/>
        <v>-69210.559999999794</v>
      </c>
      <c r="S235" s="90">
        <f t="shared" si="28"/>
        <v>2.0372681319713593E-10</v>
      </c>
    </row>
    <row r="236" spans="1:19" ht="12.75" customHeight="1" x14ac:dyDescent="0.2">
      <c r="A236" s="5"/>
      <c r="B236" s="34">
        <v>4</v>
      </c>
      <c r="C236" s="1" t="s">
        <v>105</v>
      </c>
      <c r="D236" s="1"/>
      <c r="E236" s="31"/>
      <c r="F236" s="42"/>
      <c r="G236" s="50"/>
      <c r="H236" s="49"/>
      <c r="I236" s="50"/>
      <c r="J236" s="49"/>
      <c r="K236" s="50"/>
      <c r="L236" s="49"/>
      <c r="M236" s="50"/>
      <c r="N236" s="50"/>
      <c r="O236" s="50"/>
      <c r="P236" s="49"/>
      <c r="Q236" s="50"/>
      <c r="R236" s="47">
        <f t="shared" si="27"/>
        <v>0</v>
      </c>
      <c r="S236" s="90">
        <f t="shared" si="28"/>
        <v>0</v>
      </c>
    </row>
    <row r="237" spans="1:19" ht="12.75" customHeight="1" x14ac:dyDescent="0.2">
      <c r="A237" s="5"/>
      <c r="B237" s="34">
        <v>5</v>
      </c>
      <c r="C237" s="1"/>
      <c r="D237" s="1" t="s">
        <v>106</v>
      </c>
      <c r="E237" s="31">
        <f t="shared" ref="E237:E248" si="29">SUM(G237:K237)</f>
        <v>1626902.93</v>
      </c>
      <c r="G237" s="50">
        <v>217042.22</v>
      </c>
      <c r="H237" s="49"/>
      <c r="I237" s="50">
        <v>109197.99</v>
      </c>
      <c r="J237" s="49"/>
      <c r="K237" s="50">
        <v>1300662.72</v>
      </c>
      <c r="L237" s="49"/>
      <c r="M237" s="50">
        <v>942720.34</v>
      </c>
      <c r="N237" s="50"/>
      <c r="O237" s="50">
        <v>683964.59</v>
      </c>
      <c r="P237" s="49"/>
      <c r="Q237" s="50">
        <v>-218</v>
      </c>
      <c r="R237" s="47">
        <f t="shared" si="27"/>
        <v>436</v>
      </c>
      <c r="S237" s="90">
        <f t="shared" si="28"/>
        <v>0</v>
      </c>
    </row>
    <row r="238" spans="1:19" ht="12.75" customHeight="1" x14ac:dyDescent="0.2">
      <c r="A238" s="5"/>
      <c r="B238" s="34">
        <v>6</v>
      </c>
      <c r="C238" s="1" t="s">
        <v>107</v>
      </c>
      <c r="D238" s="1"/>
      <c r="E238" s="31">
        <f t="shared" si="29"/>
        <v>594249.20000000007</v>
      </c>
      <c r="G238" s="50">
        <v>15476.94</v>
      </c>
      <c r="H238" s="49"/>
      <c r="I238" s="50">
        <v>585.85</v>
      </c>
      <c r="J238" s="49"/>
      <c r="K238" s="50">
        <v>578186.41</v>
      </c>
      <c r="L238" s="49"/>
      <c r="M238" s="50">
        <v>315977.28999999998</v>
      </c>
      <c r="N238" s="50"/>
      <c r="O238" s="50">
        <v>278271.90999999997</v>
      </c>
      <c r="P238" s="49"/>
      <c r="Q238" s="50"/>
      <c r="R238" s="47">
        <f t="shared" si="27"/>
        <v>1.1641532182693481E-10</v>
      </c>
      <c r="S238" s="90">
        <f t="shared" si="28"/>
        <v>1.1641532182693481E-10</v>
      </c>
    </row>
    <row r="239" spans="1:19" ht="12.75" customHeight="1" x14ac:dyDescent="0.2">
      <c r="A239" s="5"/>
      <c r="B239" s="34">
        <v>6</v>
      </c>
      <c r="C239" s="1" t="s">
        <v>265</v>
      </c>
      <c r="D239" s="1"/>
      <c r="E239" s="31">
        <f>SUM(G239:K239)</f>
        <v>618145.88</v>
      </c>
      <c r="G239" s="50"/>
      <c r="H239" s="49"/>
      <c r="I239" s="50"/>
      <c r="J239" s="49"/>
      <c r="K239" s="50">
        <v>618145.88</v>
      </c>
      <c r="L239" s="49"/>
      <c r="M239" s="50">
        <v>112651.45</v>
      </c>
      <c r="N239" s="50"/>
      <c r="O239" s="50">
        <v>505374.43</v>
      </c>
      <c r="P239" s="49"/>
      <c r="Q239" s="50">
        <v>-120</v>
      </c>
      <c r="R239" s="47">
        <f>E239-M239-O239-Q239</f>
        <v>240</v>
      </c>
      <c r="S239" s="90">
        <f t="shared" si="28"/>
        <v>0</v>
      </c>
    </row>
    <row r="240" spans="1:19" ht="12.75" customHeight="1" x14ac:dyDescent="0.2">
      <c r="A240" s="5"/>
      <c r="B240" s="34">
        <v>7</v>
      </c>
      <c r="C240" s="53" t="s">
        <v>282</v>
      </c>
      <c r="D240" s="1"/>
      <c r="E240" s="31">
        <f t="shared" ref="E240" si="30">SUM(G240:K240)</f>
        <v>2654296.02</v>
      </c>
      <c r="G240" s="50">
        <v>286257.13</v>
      </c>
      <c r="H240" s="49"/>
      <c r="I240" s="50">
        <v>377631.57</v>
      </c>
      <c r="J240" s="49"/>
      <c r="K240" s="50">
        <v>1990407.32</v>
      </c>
      <c r="L240" s="49"/>
      <c r="M240" s="50">
        <v>1531936.34</v>
      </c>
      <c r="N240" s="50"/>
      <c r="O240" s="50">
        <v>1416955.23</v>
      </c>
      <c r="P240" s="49"/>
      <c r="Q240" s="50">
        <v>294595.55</v>
      </c>
      <c r="R240" s="47">
        <f t="shared" ref="R240" si="31">E240-M240-O240-Q240</f>
        <v>-589191.10000000009</v>
      </c>
      <c r="S240" s="90">
        <f t="shared" ref="S240" si="32">E240-M240-O240+Q240</f>
        <v>0</v>
      </c>
    </row>
    <row r="241" spans="1:19" ht="12.75" customHeight="1" x14ac:dyDescent="0.2">
      <c r="A241" s="5"/>
      <c r="B241" s="34">
        <v>7</v>
      </c>
      <c r="C241" s="1" t="s">
        <v>109</v>
      </c>
      <c r="D241" s="1"/>
      <c r="E241" s="31">
        <f t="shared" si="29"/>
        <v>7934668.71</v>
      </c>
      <c r="G241" s="50">
        <v>1922216.77</v>
      </c>
      <c r="H241" s="49"/>
      <c r="I241" s="50">
        <v>618571.24</v>
      </c>
      <c r="J241" s="49"/>
      <c r="K241" s="50">
        <v>5393880.7000000002</v>
      </c>
      <c r="L241" s="49"/>
      <c r="M241" s="50">
        <v>3593236.01</v>
      </c>
      <c r="N241" s="50"/>
      <c r="O241" s="50">
        <v>4336081.7</v>
      </c>
      <c r="P241" s="49"/>
      <c r="Q241" s="50">
        <v>-5351</v>
      </c>
      <c r="R241" s="47">
        <f t="shared" si="27"/>
        <v>10702</v>
      </c>
      <c r="S241" s="90">
        <f t="shared" si="28"/>
        <v>0</v>
      </c>
    </row>
    <row r="242" spans="1:19" ht="12.75" customHeight="1" x14ac:dyDescent="0.2">
      <c r="A242" s="5"/>
      <c r="B242" s="34"/>
      <c r="C242" s="53" t="s">
        <v>281</v>
      </c>
      <c r="D242" s="1"/>
      <c r="E242" s="31">
        <f>SUM(G242:K242)</f>
        <v>-696.73</v>
      </c>
      <c r="G242" s="50"/>
      <c r="H242" s="49"/>
      <c r="I242" s="50"/>
      <c r="J242" s="49"/>
      <c r="K242" s="50">
        <v>-696.73</v>
      </c>
      <c r="L242" s="49"/>
      <c r="M242" s="50"/>
      <c r="N242" s="50"/>
      <c r="O242" s="50">
        <v>-696.73</v>
      </c>
      <c r="P242" s="49"/>
      <c r="Q242" s="50"/>
      <c r="R242" s="47">
        <f t="shared" ref="R242" si="33">E242-M242-O242-Q242</f>
        <v>0</v>
      </c>
      <c r="S242" s="90">
        <f t="shared" ref="S242" si="34">E242-M242-O242+Q242</f>
        <v>0</v>
      </c>
    </row>
    <row r="243" spans="1:19" ht="12.75" customHeight="1" x14ac:dyDescent="0.2">
      <c r="A243" s="5"/>
      <c r="B243" s="34"/>
      <c r="C243" s="1" t="s">
        <v>230</v>
      </c>
      <c r="D243" s="1"/>
      <c r="E243" s="31">
        <f t="shared" si="29"/>
        <v>402887.65</v>
      </c>
      <c r="G243" s="50"/>
      <c r="H243" s="49"/>
      <c r="I243" s="50"/>
      <c r="J243" s="49"/>
      <c r="K243" s="50">
        <v>402887.65</v>
      </c>
      <c r="L243" s="49"/>
      <c r="M243" s="50">
        <v>284573.65000000002</v>
      </c>
      <c r="N243" s="50"/>
      <c r="O243" s="50">
        <v>118314</v>
      </c>
      <c r="P243" s="49"/>
      <c r="Q243" s="50"/>
      <c r="R243" s="47">
        <f t="shared" si="27"/>
        <v>0</v>
      </c>
      <c r="S243" s="90">
        <f t="shared" si="28"/>
        <v>0</v>
      </c>
    </row>
    <row r="244" spans="1:19" ht="12.75" customHeight="1" x14ac:dyDescent="0.2">
      <c r="A244" s="5"/>
      <c r="B244" s="34"/>
      <c r="C244" s="1" t="s">
        <v>235</v>
      </c>
      <c r="D244" s="1"/>
      <c r="E244" s="31">
        <f>SUM(G244:K244)</f>
        <v>0</v>
      </c>
      <c r="G244" s="50"/>
      <c r="H244" s="49"/>
      <c r="I244" s="50"/>
      <c r="J244" s="49"/>
      <c r="K244" s="50"/>
      <c r="L244" s="49"/>
      <c r="M244" s="50"/>
      <c r="N244" s="50"/>
      <c r="O244" s="50"/>
      <c r="P244" s="49"/>
      <c r="Q244" s="50"/>
      <c r="R244" s="47">
        <f t="shared" si="27"/>
        <v>0</v>
      </c>
      <c r="S244" s="90">
        <f t="shared" si="28"/>
        <v>0</v>
      </c>
    </row>
    <row r="245" spans="1:19" ht="12.75" customHeight="1" x14ac:dyDescent="0.2">
      <c r="A245" s="5"/>
      <c r="B245" s="34">
        <v>10</v>
      </c>
      <c r="C245" s="1" t="s">
        <v>110</v>
      </c>
      <c r="D245" s="1"/>
      <c r="E245" s="31">
        <f t="shared" si="29"/>
        <v>20480743.25</v>
      </c>
      <c r="G245" s="50">
        <v>1821161.19</v>
      </c>
      <c r="H245" s="49"/>
      <c r="I245" s="50">
        <v>2504287.1</v>
      </c>
      <c r="J245" s="49"/>
      <c r="K245" s="50">
        <v>16155294.960000001</v>
      </c>
      <c r="L245" s="49"/>
      <c r="M245" s="50">
        <v>10851277.75</v>
      </c>
      <c r="N245" s="50"/>
      <c r="O245" s="50">
        <v>10121394.050000001</v>
      </c>
      <c r="P245" s="49"/>
      <c r="Q245" s="50">
        <v>491928.55</v>
      </c>
      <c r="R245" s="47">
        <f t="shared" si="27"/>
        <v>-983857.10000000079</v>
      </c>
      <c r="S245" s="90">
        <f t="shared" si="28"/>
        <v>-7.5669959187507629E-10</v>
      </c>
    </row>
    <row r="246" spans="1:19" ht="12.75" customHeight="1" x14ac:dyDescent="0.2">
      <c r="A246" s="5"/>
      <c r="B246" s="34"/>
      <c r="C246" s="1" t="s">
        <v>266</v>
      </c>
      <c r="D246" s="1"/>
      <c r="E246" s="31">
        <f>SUM(G246:K246)</f>
        <v>0</v>
      </c>
      <c r="G246" s="50"/>
      <c r="H246" s="49"/>
      <c r="I246" s="50"/>
      <c r="J246" s="49"/>
      <c r="K246" s="50"/>
      <c r="L246" s="49"/>
      <c r="M246" s="50"/>
      <c r="N246" s="50"/>
      <c r="O246" s="50"/>
      <c r="P246" s="49"/>
      <c r="Q246" s="50"/>
      <c r="R246" s="47">
        <f>E246-M246-O246-Q246</f>
        <v>0</v>
      </c>
      <c r="S246" s="90">
        <f t="shared" si="28"/>
        <v>0</v>
      </c>
    </row>
    <row r="247" spans="1:19" ht="12.75" customHeight="1" x14ac:dyDescent="0.2">
      <c r="A247" s="5"/>
      <c r="B247" s="34"/>
      <c r="C247" s="1" t="s">
        <v>267</v>
      </c>
      <c r="D247" s="1"/>
      <c r="E247" s="31">
        <f>SUM(G247:K247)</f>
        <v>0</v>
      </c>
      <c r="G247" s="50"/>
      <c r="H247" s="49"/>
      <c r="I247" s="50"/>
      <c r="J247" s="49"/>
      <c r="K247" s="50"/>
      <c r="L247" s="49"/>
      <c r="M247" s="50"/>
      <c r="N247" s="50"/>
      <c r="O247" s="50"/>
      <c r="P247" s="49"/>
      <c r="Q247" s="50"/>
      <c r="R247" s="47">
        <f>E247-M247-O247-Q247</f>
        <v>0</v>
      </c>
      <c r="S247" s="90">
        <f t="shared" si="28"/>
        <v>0</v>
      </c>
    </row>
    <row r="248" spans="1:19" ht="12.75" customHeight="1" x14ac:dyDescent="0.2">
      <c r="A248" s="5"/>
      <c r="B248" s="34">
        <v>11</v>
      </c>
      <c r="C248" s="1" t="s">
        <v>108</v>
      </c>
      <c r="D248" s="1"/>
      <c r="E248" s="31">
        <f t="shared" si="29"/>
        <v>9457587.8499999996</v>
      </c>
      <c r="G248" s="50">
        <v>1033050.23</v>
      </c>
      <c r="H248" s="49"/>
      <c r="I248" s="50">
        <v>279234.5</v>
      </c>
      <c r="J248" s="49"/>
      <c r="K248" s="50">
        <v>8145303.1200000001</v>
      </c>
      <c r="L248" s="49"/>
      <c r="M248" s="50">
        <v>3960609.24</v>
      </c>
      <c r="N248" s="50"/>
      <c r="O248" s="50">
        <v>5565843.3600000003</v>
      </c>
      <c r="P248" s="49"/>
      <c r="Q248" s="50">
        <v>68864.75</v>
      </c>
      <c r="R248" s="47">
        <f t="shared" si="27"/>
        <v>-137729.50000000093</v>
      </c>
      <c r="S248" s="90">
        <f t="shared" si="28"/>
        <v>-9.3132257461547852E-10</v>
      </c>
    </row>
    <row r="249" spans="1:19" ht="12.75" customHeight="1" x14ac:dyDescent="0.2">
      <c r="A249" s="5"/>
      <c r="B249" s="34"/>
      <c r="C249" s="53" t="s">
        <v>283</v>
      </c>
      <c r="D249" s="1"/>
      <c r="E249" s="31">
        <f>SUM(G249:K249)</f>
        <v>110123.52</v>
      </c>
      <c r="G249" s="50"/>
      <c r="H249" s="49"/>
      <c r="I249" s="50">
        <v>110123.52</v>
      </c>
      <c r="J249" s="49"/>
      <c r="K249" s="50"/>
      <c r="L249" s="49"/>
      <c r="M249" s="50"/>
      <c r="N249" s="50"/>
      <c r="O249" s="50">
        <v>110123.52</v>
      </c>
      <c r="P249" s="49"/>
      <c r="Q249" s="50"/>
      <c r="R249" s="47">
        <f>E249-M249-O249-Q249</f>
        <v>0</v>
      </c>
      <c r="S249" s="90">
        <f t="shared" si="28"/>
        <v>0</v>
      </c>
    </row>
    <row r="250" spans="1:19" ht="12.75" customHeight="1" x14ac:dyDescent="0.2">
      <c r="A250" s="5"/>
      <c r="B250" s="34">
        <v>15</v>
      </c>
      <c r="C250" s="1" t="s">
        <v>111</v>
      </c>
      <c r="D250" s="1"/>
      <c r="E250" s="31">
        <f>SUM(G250:K250)</f>
        <v>4006348.7999999998</v>
      </c>
      <c r="G250" s="50">
        <v>2579768.29</v>
      </c>
      <c r="H250" s="49"/>
      <c r="I250" s="50">
        <v>1408383.25</v>
      </c>
      <c r="J250" s="49"/>
      <c r="K250" s="50">
        <v>18197.259999999998</v>
      </c>
      <c r="L250" s="49"/>
      <c r="M250" s="50">
        <v>2750381.53</v>
      </c>
      <c r="N250" s="50"/>
      <c r="O250" s="50">
        <v>1253911.8500000001</v>
      </c>
      <c r="P250" s="49"/>
      <c r="Q250" s="50">
        <v>-2055.42</v>
      </c>
      <c r="R250" s="47">
        <f t="shared" si="27"/>
        <v>4110.8399999999256</v>
      </c>
      <c r="S250" s="90">
        <f t="shared" si="28"/>
        <v>-7.4578565545380116E-11</v>
      </c>
    </row>
    <row r="251" spans="1:19" ht="12.75" customHeight="1" x14ac:dyDescent="0.2">
      <c r="A251" s="5"/>
      <c r="B251" s="34">
        <v>16</v>
      </c>
      <c r="C251" s="1" t="s">
        <v>112</v>
      </c>
      <c r="D251" s="1"/>
      <c r="E251" s="31">
        <f>SUM(G251:K251)</f>
        <v>285061.48</v>
      </c>
      <c r="G251" s="50">
        <v>112715.17</v>
      </c>
      <c r="H251" s="49"/>
      <c r="I251" s="50">
        <v>172346.31</v>
      </c>
      <c r="J251" s="49"/>
      <c r="K251" s="50"/>
      <c r="L251" s="49"/>
      <c r="M251" s="50">
        <v>24000</v>
      </c>
      <c r="N251" s="50"/>
      <c r="O251" s="50">
        <v>261061.48</v>
      </c>
      <c r="P251" s="49"/>
      <c r="Q251" s="50"/>
      <c r="R251" s="47">
        <f t="shared" si="27"/>
        <v>-2.9103830456733704E-11</v>
      </c>
      <c r="S251" s="90">
        <f t="shared" si="28"/>
        <v>-2.9103830456733704E-11</v>
      </c>
    </row>
    <row r="252" spans="1:19" ht="12.75" customHeight="1" x14ac:dyDescent="0.2">
      <c r="A252" s="5"/>
      <c r="B252" s="34">
        <v>17</v>
      </c>
      <c r="C252" s="1" t="s">
        <v>100</v>
      </c>
      <c r="D252" s="5"/>
      <c r="E252" s="52">
        <f>G252+I252+K252</f>
        <v>-339032.25</v>
      </c>
      <c r="G252" s="51">
        <v>-38673.07</v>
      </c>
      <c r="H252" s="49"/>
      <c r="I252" s="51">
        <v>-81877.23</v>
      </c>
      <c r="J252" s="49"/>
      <c r="K252" s="51">
        <v>-218481.95</v>
      </c>
      <c r="L252" s="49"/>
      <c r="M252" s="51">
        <v>-338161.02</v>
      </c>
      <c r="N252" s="50"/>
      <c r="O252" s="51">
        <v>-871.23</v>
      </c>
      <c r="P252" s="49"/>
      <c r="Q252" s="51"/>
      <c r="R252" s="47">
        <f>E252-M252-O252-Q252</f>
        <v>1.8644641386345029E-11</v>
      </c>
      <c r="S252" s="90">
        <f t="shared" si="28"/>
        <v>1.8644641386345029E-11</v>
      </c>
    </row>
    <row r="253" spans="1:19" ht="12.75" customHeight="1" x14ac:dyDescent="0.2">
      <c r="A253" s="5"/>
      <c r="B253" s="34"/>
      <c r="S253" s="91"/>
    </row>
    <row r="254" spans="1:19" s="68" customFormat="1" ht="12.75" customHeight="1" x14ac:dyDescent="0.2">
      <c r="A254" s="67"/>
      <c r="B254" s="67"/>
      <c r="C254" s="67"/>
      <c r="D254" s="85" t="s">
        <v>2</v>
      </c>
      <c r="E254" s="102">
        <f>G254+I254+K254</f>
        <v>63043136.209999993</v>
      </c>
      <c r="F254" s="99"/>
      <c r="G254" s="102">
        <f>SUM(G229:G252)</f>
        <v>11593809.110000001</v>
      </c>
      <c r="H254" s="91"/>
      <c r="I254" s="102">
        <f>SUM(I229:I252)</f>
        <v>6981913.2199999997</v>
      </c>
      <c r="J254" s="91"/>
      <c r="K254" s="102">
        <f>SUM(K229:K252)</f>
        <v>44467413.879999995</v>
      </c>
      <c r="M254" s="6">
        <f>SUM(M229:M252)</f>
        <v>31860015.98</v>
      </c>
      <c r="N254" s="26"/>
      <c r="O254" s="6">
        <f>SUM(O229:O253)</f>
        <v>32190348.540000003</v>
      </c>
      <c r="Q254" s="102">
        <f>SUM(Q229:Q252)</f>
        <v>1007228.3099999999</v>
      </c>
      <c r="R254" s="100">
        <f>E254-M254-O254-Q254</f>
        <v>-2014456.6200000099</v>
      </c>
      <c r="S254" s="90">
        <f>E254-M254-O254+Q254</f>
        <v>-9.8953023552894592E-9</v>
      </c>
    </row>
    <row r="255" spans="1:19" ht="12.75" customHeight="1" x14ac:dyDescent="0.2">
      <c r="A255" s="5"/>
      <c r="B255" s="5"/>
      <c r="C255" s="5"/>
      <c r="D255" s="1"/>
      <c r="E255" s="73"/>
      <c r="G255" s="35"/>
      <c r="I255" s="35"/>
      <c r="K255" s="35"/>
      <c r="M255" s="35"/>
      <c r="O255" s="35"/>
      <c r="Q255" s="103"/>
      <c r="R255" s="100"/>
      <c r="S255" s="91"/>
    </row>
    <row r="256" spans="1:19" ht="12.75" customHeight="1" x14ac:dyDescent="0.2">
      <c r="A256" s="5"/>
      <c r="B256" s="1" t="s">
        <v>113</v>
      </c>
      <c r="Q256" s="91"/>
      <c r="R256" s="91"/>
      <c r="S256" s="91"/>
    </row>
    <row r="257" spans="1:19" ht="12.75" customHeight="1" x14ac:dyDescent="0.2">
      <c r="A257" s="34"/>
      <c r="B257" s="5">
        <v>1</v>
      </c>
      <c r="C257" s="1" t="s">
        <v>114</v>
      </c>
      <c r="D257" s="1"/>
      <c r="E257" s="31">
        <f t="shared" ref="E257:E262" si="35">SUM(G257:K257)</f>
        <v>10742.64</v>
      </c>
      <c r="G257" s="50">
        <v>55.94</v>
      </c>
      <c r="H257" s="49"/>
      <c r="I257" s="50">
        <v>7425.65</v>
      </c>
      <c r="J257" s="49"/>
      <c r="K257" s="50">
        <v>3261.05</v>
      </c>
      <c r="L257" s="49"/>
      <c r="M257" s="50"/>
      <c r="N257" s="50"/>
      <c r="O257" s="50">
        <v>9922.64</v>
      </c>
      <c r="P257" s="49"/>
      <c r="Q257" s="90">
        <v>-820</v>
      </c>
      <c r="R257" s="100">
        <f t="shared" ref="R257:R262" si="36">E257-M257-O257-Q257</f>
        <v>1640</v>
      </c>
      <c r="S257" s="90">
        <f t="shared" ref="S257:S265" si="37">E257-M257-O257+Q257</f>
        <v>0</v>
      </c>
    </row>
    <row r="258" spans="1:19" ht="12.75" customHeight="1" x14ac:dyDescent="0.2">
      <c r="A258" s="34"/>
      <c r="B258" s="5">
        <v>2</v>
      </c>
      <c r="C258" s="1" t="s">
        <v>115</v>
      </c>
      <c r="D258" s="1"/>
      <c r="E258" s="31">
        <f t="shared" si="35"/>
        <v>4595678.4300000006</v>
      </c>
      <c r="G258" s="50">
        <v>130152.41</v>
      </c>
      <c r="H258" s="49"/>
      <c r="I258" s="50">
        <v>2385698.7200000002</v>
      </c>
      <c r="J258" s="49"/>
      <c r="K258" s="50">
        <v>2079827.3</v>
      </c>
      <c r="L258" s="49"/>
      <c r="M258" s="50">
        <v>1141431.68</v>
      </c>
      <c r="N258" s="50"/>
      <c r="O258" s="50">
        <v>3439842.75</v>
      </c>
      <c r="P258" s="49"/>
      <c r="Q258" s="90">
        <v>-14404</v>
      </c>
      <c r="R258" s="100">
        <f t="shared" si="36"/>
        <v>28808.000000000931</v>
      </c>
      <c r="S258" s="90">
        <f t="shared" si="37"/>
        <v>9.3132257461547852E-10</v>
      </c>
    </row>
    <row r="259" spans="1:19" ht="12.75" customHeight="1" x14ac:dyDescent="0.2">
      <c r="A259" s="34"/>
      <c r="B259" s="5">
        <v>4</v>
      </c>
      <c r="C259" s="1" t="s">
        <v>116</v>
      </c>
      <c r="D259" s="1"/>
      <c r="E259" s="31">
        <f t="shared" si="35"/>
        <v>454837.94</v>
      </c>
      <c r="G259" s="50">
        <v>423044.84</v>
      </c>
      <c r="H259" s="49"/>
      <c r="I259" s="50">
        <v>31793.1</v>
      </c>
      <c r="J259" s="49"/>
      <c r="K259" s="50"/>
      <c r="L259" s="49"/>
      <c r="M259" s="50">
        <v>280552.51</v>
      </c>
      <c r="N259" s="50"/>
      <c r="O259" s="50">
        <v>174285.43</v>
      </c>
      <c r="P259" s="49"/>
      <c r="Q259" s="90"/>
      <c r="R259" s="100">
        <f t="shared" si="36"/>
        <v>0</v>
      </c>
      <c r="S259" s="90">
        <f t="shared" si="37"/>
        <v>0</v>
      </c>
    </row>
    <row r="260" spans="1:19" ht="12.75" customHeight="1" x14ac:dyDescent="0.2">
      <c r="A260" s="34"/>
      <c r="B260" s="5">
        <v>5</v>
      </c>
      <c r="C260" s="1" t="s">
        <v>117</v>
      </c>
      <c r="D260" s="1"/>
      <c r="E260" s="31">
        <f t="shared" si="35"/>
        <v>593242.78</v>
      </c>
      <c r="G260" s="50">
        <v>29854.7</v>
      </c>
      <c r="H260" s="49"/>
      <c r="I260" s="50">
        <v>180910.56</v>
      </c>
      <c r="J260" s="49"/>
      <c r="K260" s="50">
        <v>382477.52</v>
      </c>
      <c r="L260" s="49"/>
      <c r="M260" s="50">
        <v>335166.18</v>
      </c>
      <c r="N260" s="50"/>
      <c r="O260" s="50">
        <v>255521.64</v>
      </c>
      <c r="P260" s="49"/>
      <c r="Q260" s="90">
        <v>-2554.96</v>
      </c>
      <c r="R260" s="100">
        <f t="shared" si="36"/>
        <v>5109.920000000021</v>
      </c>
      <c r="S260" s="90">
        <f t="shared" si="37"/>
        <v>2.0918378140777349E-11</v>
      </c>
    </row>
    <row r="261" spans="1:19" ht="12.75" customHeight="1" x14ac:dyDescent="0.2">
      <c r="A261" s="34"/>
      <c r="B261" s="5">
        <v>3</v>
      </c>
      <c r="C261" s="1" t="s">
        <v>261</v>
      </c>
      <c r="D261" s="1"/>
      <c r="E261" s="31">
        <f t="shared" si="35"/>
        <v>393829.07</v>
      </c>
      <c r="G261" s="50">
        <v>149318.67000000001</v>
      </c>
      <c r="H261" s="49"/>
      <c r="I261" s="50">
        <v>244510.4</v>
      </c>
      <c r="J261" s="49"/>
      <c r="K261" s="50"/>
      <c r="L261" s="49"/>
      <c r="M261" s="50">
        <v>199078.44</v>
      </c>
      <c r="N261" s="50"/>
      <c r="O261" s="50">
        <v>194742.63</v>
      </c>
      <c r="P261" s="49"/>
      <c r="Q261" s="50">
        <v>-8</v>
      </c>
      <c r="R261" s="47">
        <f t="shared" si="36"/>
        <v>16</v>
      </c>
      <c r="S261" s="50">
        <f t="shared" si="37"/>
        <v>0</v>
      </c>
    </row>
    <row r="262" spans="1:19" ht="12.75" customHeight="1" x14ac:dyDescent="0.2">
      <c r="A262" s="34"/>
      <c r="B262" s="5">
        <v>3</v>
      </c>
      <c r="C262" s="1" t="s">
        <v>260</v>
      </c>
      <c r="D262" s="1"/>
      <c r="E262" s="31">
        <f t="shared" si="35"/>
        <v>1374643.23</v>
      </c>
      <c r="G262" s="50">
        <v>1286371.5</v>
      </c>
      <c r="H262" s="49"/>
      <c r="I262" s="50">
        <v>50955.94</v>
      </c>
      <c r="J262" s="49"/>
      <c r="K262" s="50">
        <v>37315.79</v>
      </c>
      <c r="L262" s="49"/>
      <c r="M262" s="50">
        <v>766661.73</v>
      </c>
      <c r="N262" s="50"/>
      <c r="O262" s="50">
        <v>608073.5</v>
      </c>
      <c r="P262" s="49"/>
      <c r="Q262" s="50">
        <v>92</v>
      </c>
      <c r="R262" s="47">
        <f t="shared" si="36"/>
        <v>-184</v>
      </c>
      <c r="S262" s="50">
        <f t="shared" si="37"/>
        <v>0</v>
      </c>
    </row>
    <row r="263" spans="1:19" ht="12.75" customHeight="1" x14ac:dyDescent="0.2">
      <c r="A263" s="34"/>
      <c r="B263" s="5">
        <v>8</v>
      </c>
      <c r="C263" s="1" t="s">
        <v>118</v>
      </c>
      <c r="D263" s="1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S263" s="50">
        <f t="shared" si="37"/>
        <v>0</v>
      </c>
    </row>
    <row r="264" spans="1:19" ht="12.75" customHeight="1" x14ac:dyDescent="0.2">
      <c r="A264" s="34"/>
      <c r="B264" s="5">
        <v>9</v>
      </c>
      <c r="C264" s="5"/>
      <c r="D264" s="1" t="s">
        <v>119</v>
      </c>
      <c r="E264" s="31">
        <f>SUM(G264:K264)</f>
        <v>298052.31</v>
      </c>
      <c r="G264" s="50">
        <v>13918.71</v>
      </c>
      <c r="H264" s="49"/>
      <c r="I264" s="50">
        <v>115251.65</v>
      </c>
      <c r="J264" s="49"/>
      <c r="K264" s="50">
        <v>168881.95</v>
      </c>
      <c r="L264" s="49"/>
      <c r="M264" s="50">
        <v>285252.32</v>
      </c>
      <c r="N264" s="50"/>
      <c r="O264" s="50">
        <v>12799.99</v>
      </c>
      <c r="P264" s="49"/>
      <c r="Q264" s="50"/>
      <c r="R264" s="47">
        <f>E264-M264-O264-Q264</f>
        <v>-9.0949470177292824E-12</v>
      </c>
      <c r="S264" s="50">
        <f t="shared" si="37"/>
        <v>-9.0949470177292824E-12</v>
      </c>
    </row>
    <row r="265" spans="1:19" ht="12.75" customHeight="1" x14ac:dyDescent="0.2">
      <c r="A265" s="34"/>
      <c r="B265" s="5">
        <v>10</v>
      </c>
      <c r="C265" s="1" t="s">
        <v>100</v>
      </c>
      <c r="D265" s="1"/>
      <c r="E265" s="52">
        <f>G265+I265+K265</f>
        <v>15484.369999999999</v>
      </c>
      <c r="G265" s="51">
        <v>-1114.3499999999999</v>
      </c>
      <c r="H265" s="49"/>
      <c r="I265" s="51">
        <v>11232.68</v>
      </c>
      <c r="J265" s="49"/>
      <c r="K265" s="51">
        <v>5366.04</v>
      </c>
      <c r="L265" s="49"/>
      <c r="M265" s="51">
        <v>13972.34</v>
      </c>
      <c r="N265" s="50"/>
      <c r="O265" s="51">
        <v>1512.03</v>
      </c>
      <c r="P265" s="49"/>
      <c r="Q265" s="51"/>
      <c r="R265" s="47">
        <f>E265-M265-O265-Q265</f>
        <v>-1.1368683772161603E-12</v>
      </c>
      <c r="S265" s="50">
        <f t="shared" si="37"/>
        <v>-1.1368683772161603E-12</v>
      </c>
    </row>
    <row r="266" spans="1:19" ht="12.75" customHeight="1" x14ac:dyDescent="0.2">
      <c r="A266" s="34"/>
    </row>
    <row r="267" spans="1:19" s="68" customFormat="1" ht="12.75" customHeight="1" x14ac:dyDescent="0.2">
      <c r="A267" s="67"/>
      <c r="B267" s="67"/>
      <c r="C267" s="67"/>
      <c r="D267" s="85" t="s">
        <v>2</v>
      </c>
      <c r="E267" s="102">
        <f>G267+I267+K267</f>
        <v>7736510.7700000005</v>
      </c>
      <c r="F267" s="99"/>
      <c r="G267" s="102">
        <f>SUM(G257:G265)</f>
        <v>2031602.42</v>
      </c>
      <c r="H267" s="91"/>
      <c r="I267" s="102">
        <f>SUM(I257:I265)</f>
        <v>3027778.7</v>
      </c>
      <c r="J267" s="91"/>
      <c r="K267" s="102">
        <f>SUM(K257:K265)</f>
        <v>2677129.6500000004</v>
      </c>
      <c r="M267" s="6">
        <f>SUM(M257:M265)</f>
        <v>3022115.1999999997</v>
      </c>
      <c r="N267" s="26"/>
      <c r="O267" s="6">
        <f>SUM(O257:O266)</f>
        <v>4696700.6100000003</v>
      </c>
      <c r="Q267" s="102">
        <f>SUM(Q257:Q265)</f>
        <v>-17694.96</v>
      </c>
      <c r="R267" s="100">
        <f>E267-M267-O267-Q267</f>
        <v>35389.919999999962</v>
      </c>
      <c r="S267" s="90">
        <f>E267-M267-O267+Q267</f>
        <v>-3.637978807091713E-11</v>
      </c>
    </row>
    <row r="268" spans="1:19" ht="12.75" customHeight="1" x14ac:dyDescent="0.2">
      <c r="A268" s="5"/>
      <c r="B268" s="5"/>
      <c r="C268" s="5"/>
      <c r="D268" s="1"/>
      <c r="E268" s="73"/>
      <c r="G268" s="35"/>
      <c r="I268" s="35"/>
      <c r="K268" s="35"/>
      <c r="M268" s="35"/>
      <c r="O268" s="35"/>
      <c r="Q268" s="35"/>
      <c r="R268" s="47"/>
    </row>
    <row r="269" spans="1:19" ht="12.75" customHeight="1" x14ac:dyDescent="0.2">
      <c r="A269" s="5"/>
      <c r="B269" s="1" t="s">
        <v>15</v>
      </c>
    </row>
    <row r="270" spans="1:19" ht="12.75" customHeight="1" x14ac:dyDescent="0.2">
      <c r="A270" s="5"/>
      <c r="B270" s="5">
        <v>1</v>
      </c>
      <c r="C270" s="1" t="s">
        <v>120</v>
      </c>
      <c r="D270" s="1"/>
      <c r="E270" s="31">
        <f t="shared" ref="E270:E280" si="38">SUM(G270:K270)</f>
        <v>853199.62</v>
      </c>
      <c r="G270" s="50">
        <v>828448.41</v>
      </c>
      <c r="H270" s="49"/>
      <c r="I270" s="50">
        <v>23984.21</v>
      </c>
      <c r="J270" s="49"/>
      <c r="K270" s="50">
        <v>767</v>
      </c>
      <c r="L270" s="49"/>
      <c r="M270" s="50">
        <v>237764.34</v>
      </c>
      <c r="N270" s="50"/>
      <c r="O270" s="50">
        <v>615215.28</v>
      </c>
      <c r="P270" s="49"/>
      <c r="Q270" s="50">
        <v>-220</v>
      </c>
      <c r="R270" s="47">
        <f t="shared" ref="R270:R283" si="39">E270-M270-O270-Q270</f>
        <v>440</v>
      </c>
      <c r="S270" s="50">
        <f t="shared" ref="S270:S284" si="40">E270-M270-O270+Q270</f>
        <v>0</v>
      </c>
    </row>
    <row r="271" spans="1:19" ht="12.75" customHeight="1" x14ac:dyDescent="0.2">
      <c r="A271" s="5"/>
      <c r="B271" s="5">
        <v>2</v>
      </c>
      <c r="C271" s="1" t="s">
        <v>121</v>
      </c>
      <c r="D271" s="1"/>
      <c r="E271" s="31">
        <f t="shared" si="38"/>
        <v>667907.94999999995</v>
      </c>
      <c r="G271" s="50">
        <v>571701.93999999994</v>
      </c>
      <c r="H271" s="49"/>
      <c r="I271" s="50">
        <v>95266.01</v>
      </c>
      <c r="J271" s="49"/>
      <c r="K271" s="50">
        <v>940</v>
      </c>
      <c r="L271" s="49"/>
      <c r="M271" s="50">
        <v>323853.13</v>
      </c>
      <c r="N271" s="50"/>
      <c r="O271" s="50">
        <v>343994.82</v>
      </c>
      <c r="P271" s="49"/>
      <c r="Q271" s="50">
        <v>-60</v>
      </c>
      <c r="R271" s="47">
        <f t="shared" si="39"/>
        <v>119.99999999994179</v>
      </c>
      <c r="S271" s="50">
        <f t="shared" si="40"/>
        <v>-5.8207660913467407E-11</v>
      </c>
    </row>
    <row r="272" spans="1:19" ht="12.75" customHeight="1" x14ac:dyDescent="0.2">
      <c r="A272" s="5"/>
      <c r="B272" s="5">
        <v>3</v>
      </c>
      <c r="C272" s="1" t="s">
        <v>122</v>
      </c>
      <c r="D272" s="1"/>
      <c r="E272" s="31">
        <f t="shared" si="38"/>
        <v>0</v>
      </c>
      <c r="G272" s="50"/>
      <c r="H272" s="49"/>
      <c r="I272" s="50"/>
      <c r="J272" s="49"/>
      <c r="K272" s="50"/>
      <c r="L272" s="49"/>
      <c r="M272" s="50"/>
      <c r="N272" s="50"/>
      <c r="O272" s="50"/>
      <c r="P272" s="49"/>
      <c r="Q272" s="50"/>
      <c r="R272" s="47">
        <f t="shared" si="39"/>
        <v>0</v>
      </c>
      <c r="S272" s="50">
        <f t="shared" si="40"/>
        <v>0</v>
      </c>
    </row>
    <row r="273" spans="1:19" ht="12.75" customHeight="1" x14ac:dyDescent="0.2">
      <c r="A273" s="5"/>
      <c r="B273" s="5">
        <v>4</v>
      </c>
      <c r="C273" s="1" t="s">
        <v>123</v>
      </c>
      <c r="D273" s="1"/>
      <c r="E273" s="31">
        <f t="shared" si="38"/>
        <v>665222.22</v>
      </c>
      <c r="G273" s="50">
        <v>663003.68000000005</v>
      </c>
      <c r="H273" s="49"/>
      <c r="I273" s="50">
        <v>1999.7</v>
      </c>
      <c r="J273" s="49"/>
      <c r="K273" s="50">
        <v>218.84</v>
      </c>
      <c r="L273" s="49"/>
      <c r="M273" s="50">
        <v>388236.77</v>
      </c>
      <c r="N273" s="50"/>
      <c r="O273" s="50">
        <v>276905.45</v>
      </c>
      <c r="P273" s="49"/>
      <c r="Q273" s="50">
        <v>-80</v>
      </c>
      <c r="R273" s="47">
        <f t="shared" si="39"/>
        <v>159.99999999994179</v>
      </c>
      <c r="S273" s="50">
        <f t="shared" si="40"/>
        <v>-5.8207660913467407E-11</v>
      </c>
    </row>
    <row r="274" spans="1:19" ht="12.75" customHeight="1" x14ac:dyDescent="0.2">
      <c r="A274" s="5"/>
      <c r="B274" s="5">
        <v>6</v>
      </c>
      <c r="C274" s="1" t="s">
        <v>263</v>
      </c>
      <c r="D274" s="1"/>
      <c r="E274" s="31">
        <f>SUM(G274:K274)</f>
        <v>13109.64</v>
      </c>
      <c r="G274" s="50">
        <v>13109.64</v>
      </c>
      <c r="H274" s="49"/>
      <c r="I274" s="50"/>
      <c r="J274" s="49"/>
      <c r="K274" s="50"/>
      <c r="L274" s="49"/>
      <c r="M274" s="50"/>
      <c r="N274" s="50"/>
      <c r="O274" s="50">
        <v>13109.64</v>
      </c>
      <c r="P274" s="49"/>
      <c r="Q274" s="50"/>
      <c r="R274" s="47">
        <f>E274-M274-O274-Q274</f>
        <v>0</v>
      </c>
      <c r="S274" s="50">
        <f t="shared" si="40"/>
        <v>0</v>
      </c>
    </row>
    <row r="275" spans="1:19" ht="12.75" customHeight="1" x14ac:dyDescent="0.2">
      <c r="A275" s="5"/>
      <c r="B275" s="5">
        <v>6</v>
      </c>
      <c r="C275" s="1" t="s">
        <v>124</v>
      </c>
      <c r="D275" s="1"/>
      <c r="E275" s="31">
        <f t="shared" si="38"/>
        <v>-2899.39</v>
      </c>
      <c r="G275" s="50"/>
      <c r="H275" s="49"/>
      <c r="I275" s="50">
        <v>-2899.39</v>
      </c>
      <c r="J275" s="49"/>
      <c r="K275" s="50"/>
      <c r="L275" s="49"/>
      <c r="M275" s="50">
        <v>22691.64</v>
      </c>
      <c r="N275" s="50"/>
      <c r="O275" s="50">
        <v>35726.39</v>
      </c>
      <c r="P275" s="49"/>
      <c r="Q275" s="50">
        <v>61317.42</v>
      </c>
      <c r="R275" s="47">
        <f t="shared" si="39"/>
        <v>-122634.84</v>
      </c>
      <c r="S275" s="50">
        <f t="shared" si="40"/>
        <v>0</v>
      </c>
    </row>
    <row r="276" spans="1:19" ht="12.75" customHeight="1" x14ac:dyDescent="0.2">
      <c r="A276" s="5"/>
      <c r="B276" s="5">
        <v>6</v>
      </c>
      <c r="C276" s="1" t="s">
        <v>262</v>
      </c>
      <c r="D276" s="1"/>
      <c r="E276" s="31">
        <f>SUM(G276:K276)</f>
        <v>621873.21</v>
      </c>
      <c r="G276" s="50">
        <v>3651.13</v>
      </c>
      <c r="H276" s="49"/>
      <c r="I276" s="50">
        <v>81794.38</v>
      </c>
      <c r="J276" s="49"/>
      <c r="K276" s="50">
        <v>536427.69999999995</v>
      </c>
      <c r="L276" s="49"/>
      <c r="M276" s="50">
        <v>356964.78</v>
      </c>
      <c r="N276" s="50"/>
      <c r="O276" s="50">
        <v>263018.43</v>
      </c>
      <c r="P276" s="49"/>
      <c r="Q276" s="50">
        <v>-1890</v>
      </c>
      <c r="R276" s="47">
        <f>E276-M276-O276-Q276</f>
        <v>3779.9999999999418</v>
      </c>
      <c r="S276" s="50">
        <f t="shared" si="40"/>
        <v>-5.8207660913467407E-11</v>
      </c>
    </row>
    <row r="277" spans="1:19" ht="12.75" customHeight="1" x14ac:dyDescent="0.2">
      <c r="A277" s="5"/>
      <c r="B277" s="5"/>
      <c r="C277" s="1" t="s">
        <v>226</v>
      </c>
      <c r="D277" s="1"/>
      <c r="E277" s="31">
        <f t="shared" si="38"/>
        <v>45201.34</v>
      </c>
      <c r="G277" s="50"/>
      <c r="H277" s="49"/>
      <c r="I277" s="50">
        <v>45201.34</v>
      </c>
      <c r="J277" s="49"/>
      <c r="K277" s="50"/>
      <c r="L277" s="49"/>
      <c r="M277" s="50"/>
      <c r="N277" s="50"/>
      <c r="O277" s="50">
        <v>84107.66</v>
      </c>
      <c r="P277" s="49"/>
      <c r="Q277" s="50">
        <v>38906.32</v>
      </c>
      <c r="R277" s="47">
        <f t="shared" si="39"/>
        <v>-77812.640000000014</v>
      </c>
      <c r="S277" s="50">
        <f t="shared" si="40"/>
        <v>0</v>
      </c>
    </row>
    <row r="278" spans="1:19" ht="12.75" customHeight="1" x14ac:dyDescent="0.2">
      <c r="A278" s="5"/>
      <c r="B278" s="5">
        <v>7</v>
      </c>
      <c r="C278" s="1" t="s">
        <v>125</v>
      </c>
      <c r="D278" s="1"/>
      <c r="E278" s="31">
        <f t="shared" si="38"/>
        <v>538843.80999999994</v>
      </c>
      <c r="G278" s="50">
        <v>485252.3</v>
      </c>
      <c r="H278" s="49"/>
      <c r="I278" s="50">
        <v>53591.51</v>
      </c>
      <c r="J278" s="49"/>
      <c r="K278" s="50"/>
      <c r="L278" s="49"/>
      <c r="M278" s="50">
        <v>351713.47</v>
      </c>
      <c r="N278" s="50"/>
      <c r="O278" s="50">
        <v>187130.34</v>
      </c>
      <c r="P278" s="49"/>
      <c r="Q278" s="50"/>
      <c r="R278" s="47">
        <f t="shared" si="39"/>
        <v>-2.9103830456733704E-11</v>
      </c>
      <c r="S278" s="50">
        <f t="shared" si="40"/>
        <v>-2.9103830456733704E-11</v>
      </c>
    </row>
    <row r="279" spans="1:19" ht="12.75" customHeight="1" x14ac:dyDescent="0.2">
      <c r="A279" s="5"/>
      <c r="B279" s="5">
        <v>8</v>
      </c>
      <c r="C279" s="1" t="s">
        <v>126</v>
      </c>
      <c r="D279" s="1"/>
      <c r="E279" s="31">
        <f t="shared" si="38"/>
        <v>1729555.76</v>
      </c>
      <c r="G279" s="50">
        <v>1199082.58</v>
      </c>
      <c r="H279" s="49"/>
      <c r="I279" s="50">
        <v>501347.19</v>
      </c>
      <c r="J279" s="49"/>
      <c r="K279" s="50">
        <v>29125.99</v>
      </c>
      <c r="L279" s="49"/>
      <c r="M279" s="50">
        <v>1408218.57</v>
      </c>
      <c r="N279" s="50"/>
      <c r="O279" s="50">
        <v>876158.1</v>
      </c>
      <c r="P279" s="49"/>
      <c r="Q279" s="50">
        <v>554820.91</v>
      </c>
      <c r="R279" s="47">
        <f t="shared" si="39"/>
        <v>-1109641.82</v>
      </c>
      <c r="S279" s="50">
        <f t="shared" si="40"/>
        <v>0</v>
      </c>
    </row>
    <row r="280" spans="1:19" ht="12.75" customHeight="1" x14ac:dyDescent="0.2">
      <c r="A280" s="5"/>
      <c r="B280" s="5">
        <v>9</v>
      </c>
      <c r="C280" s="1" t="s">
        <v>127</v>
      </c>
      <c r="D280" s="1"/>
      <c r="E280" s="31">
        <f t="shared" si="38"/>
        <v>21590923.379999999</v>
      </c>
      <c r="G280" s="50">
        <v>19951180.239999998</v>
      </c>
      <c r="H280" s="49"/>
      <c r="I280" s="50">
        <v>1049765.8700000001</v>
      </c>
      <c r="J280" s="49"/>
      <c r="K280" s="50">
        <v>589977.27</v>
      </c>
      <c r="L280" s="49"/>
      <c r="M280" s="50">
        <v>8617238.9399999995</v>
      </c>
      <c r="N280" s="50"/>
      <c r="O280" s="50">
        <v>12972273.039999999</v>
      </c>
      <c r="P280" s="49"/>
      <c r="Q280" s="50">
        <v>-1411.4</v>
      </c>
      <c r="R280" s="47">
        <f t="shared" si="39"/>
        <v>2822.8000000003726</v>
      </c>
      <c r="S280" s="50">
        <f t="shared" si="40"/>
        <v>3.7243808037601411E-10</v>
      </c>
    </row>
    <row r="281" spans="1:19" ht="12.75" customHeight="1" x14ac:dyDescent="0.2">
      <c r="A281" s="5"/>
      <c r="B281" s="5">
        <v>10</v>
      </c>
      <c r="C281" s="1" t="s">
        <v>128</v>
      </c>
      <c r="D281" s="1"/>
      <c r="E281" s="31"/>
      <c r="G281" s="50"/>
      <c r="H281" s="49"/>
      <c r="I281" s="50"/>
      <c r="J281" s="49"/>
      <c r="K281" s="50"/>
      <c r="L281" s="49"/>
      <c r="M281" s="50"/>
      <c r="N281" s="50"/>
      <c r="O281" s="50"/>
      <c r="P281" s="49"/>
      <c r="Q281" s="50">
        <v>-394</v>
      </c>
      <c r="R281" s="47">
        <f>E281-M281-O281-Q281</f>
        <v>394</v>
      </c>
      <c r="S281" s="50">
        <f>E281-M281-O281+Q281</f>
        <v>-394</v>
      </c>
    </row>
    <row r="282" spans="1:19" ht="12.75" customHeight="1" x14ac:dyDescent="0.2">
      <c r="A282" s="5"/>
      <c r="B282" s="5">
        <v>11</v>
      </c>
      <c r="C282" s="5"/>
      <c r="D282" s="5" t="s">
        <v>129</v>
      </c>
      <c r="E282" s="31">
        <f>SUM(G282:K282)</f>
        <v>271432.12</v>
      </c>
      <c r="G282" s="50">
        <v>251626.87</v>
      </c>
      <c r="H282" s="49"/>
      <c r="I282" s="50">
        <v>4277.59</v>
      </c>
      <c r="J282" s="49"/>
      <c r="K282" s="50">
        <v>15527.66</v>
      </c>
      <c r="L282" s="49"/>
      <c r="M282" s="50">
        <v>136107.19</v>
      </c>
      <c r="N282" s="50"/>
      <c r="O282" s="50">
        <v>134930.93</v>
      </c>
      <c r="P282" s="49"/>
      <c r="Q282" s="50"/>
      <c r="R282" s="47">
        <f>E282-M282-O282-Q282</f>
        <v>394</v>
      </c>
      <c r="S282" s="50">
        <f>E282-M282-O282+Q282</f>
        <v>394</v>
      </c>
    </row>
    <row r="283" spans="1:19" ht="12.75" customHeight="1" x14ac:dyDescent="0.2">
      <c r="A283" s="5"/>
      <c r="B283" s="5">
        <v>12</v>
      </c>
      <c r="C283" s="5" t="s">
        <v>100</v>
      </c>
      <c r="D283" s="5"/>
      <c r="E283" s="31">
        <f>SUM(G283:K283)</f>
        <v>-42298.630000000005</v>
      </c>
      <c r="G283" s="50">
        <v>-44936.68</v>
      </c>
      <c r="H283" s="49"/>
      <c r="I283" s="50">
        <v>-6853.29</v>
      </c>
      <c r="J283" s="49"/>
      <c r="K283" s="50">
        <v>9491.34</v>
      </c>
      <c r="L283" s="49"/>
      <c r="M283" s="50">
        <v>-44626.64</v>
      </c>
      <c r="N283" s="50"/>
      <c r="O283" s="50">
        <v>2328.0100000000002</v>
      </c>
      <c r="P283" s="49"/>
      <c r="Q283" s="50"/>
      <c r="R283" s="47">
        <f t="shared" si="39"/>
        <v>-5.4569682106375694E-12</v>
      </c>
      <c r="S283" s="50">
        <f t="shared" si="40"/>
        <v>-5.4569682106375694E-12</v>
      </c>
    </row>
    <row r="284" spans="1:19" ht="12.75" customHeight="1" x14ac:dyDescent="0.2">
      <c r="A284" s="5"/>
      <c r="B284" s="5">
        <v>13</v>
      </c>
      <c r="C284" s="5" t="s">
        <v>101</v>
      </c>
      <c r="D284" s="5"/>
      <c r="E284" s="52">
        <f>G284+I284+K284</f>
        <v>0</v>
      </c>
      <c r="G284" s="51">
        <v>-17923094.09</v>
      </c>
      <c r="H284" s="49"/>
      <c r="I284" s="51">
        <v>17923094.09</v>
      </c>
      <c r="J284" s="49"/>
      <c r="K284" s="51"/>
      <c r="L284" s="49"/>
      <c r="M284" s="51"/>
      <c r="N284" s="50"/>
      <c r="O284" s="51"/>
      <c r="P284" s="49"/>
      <c r="Q284" s="51"/>
      <c r="R284" s="47">
        <f>E284-M284-O284-Q284</f>
        <v>0</v>
      </c>
      <c r="S284" s="50">
        <f t="shared" si="40"/>
        <v>0</v>
      </c>
    </row>
    <row r="285" spans="1:19" ht="12.75" customHeight="1" x14ac:dyDescent="0.2">
      <c r="A285" s="5"/>
      <c r="B285" s="34"/>
    </row>
    <row r="286" spans="1:19" s="68" customFormat="1" ht="12.75" customHeight="1" x14ac:dyDescent="0.2">
      <c r="A286" s="67"/>
      <c r="B286" s="67"/>
      <c r="C286" s="67"/>
      <c r="D286" s="85" t="s">
        <v>2</v>
      </c>
      <c r="E286" s="102">
        <f>G286+I286+K286</f>
        <v>26952071.030000001</v>
      </c>
      <c r="F286" s="99"/>
      <c r="G286" s="102">
        <f>SUM(G270:G284)</f>
        <v>5999026.0199999996</v>
      </c>
      <c r="H286" s="91"/>
      <c r="I286" s="102">
        <f>SUM(I270:I284)</f>
        <v>19770569.210000001</v>
      </c>
      <c r="J286" s="91"/>
      <c r="K286" s="102">
        <f>SUM(K270:K284)</f>
        <v>1182475.7999999998</v>
      </c>
      <c r="M286" s="6">
        <f>SUM(M270:M284)</f>
        <v>11798162.189999999</v>
      </c>
      <c r="N286" s="26"/>
      <c r="O286" s="6">
        <f>SUM(O270:O284)</f>
        <v>15804898.089999998</v>
      </c>
      <c r="Q286" s="102">
        <f>SUM(Q270:Q284)</f>
        <v>650989.25</v>
      </c>
      <c r="R286" s="75">
        <f>E286-M286-O286-Q286</f>
        <v>-1301978.4999999963</v>
      </c>
      <c r="S286" s="90">
        <f>E286-M286-O286+Q286</f>
        <v>3.7252902984619141E-9</v>
      </c>
    </row>
    <row r="287" spans="1:19" ht="12.75" customHeight="1" x14ac:dyDescent="0.2">
      <c r="A287" s="5"/>
      <c r="B287" s="5"/>
      <c r="C287" s="34"/>
      <c r="D287" s="34"/>
      <c r="E287" s="91"/>
      <c r="F287" s="99"/>
      <c r="G287" s="91"/>
      <c r="H287" s="91"/>
      <c r="I287" s="91"/>
      <c r="J287" s="91"/>
      <c r="K287" s="91"/>
      <c r="Q287" s="91"/>
      <c r="S287" s="91"/>
    </row>
    <row r="288" spans="1:19" s="68" customFormat="1" ht="12.75" customHeight="1" x14ac:dyDescent="0.2">
      <c r="A288" s="67"/>
      <c r="B288" s="67"/>
      <c r="C288" s="67"/>
      <c r="D288" s="85" t="s">
        <v>219</v>
      </c>
      <c r="E288" s="102">
        <f>E226+E254+E267+E286</f>
        <v>99782607.299999997</v>
      </c>
      <c r="F288" s="99"/>
      <c r="G288" s="102">
        <f>G226+G254+G267+G286</f>
        <v>21259862.969999999</v>
      </c>
      <c r="H288" s="91"/>
      <c r="I288" s="102">
        <f>I226+I254+I267+I286</f>
        <v>29699959.560000002</v>
      </c>
      <c r="J288" s="91"/>
      <c r="K288" s="102">
        <f>K226+K254+K267+K286</f>
        <v>48822784.769999988</v>
      </c>
      <c r="M288" s="6">
        <f>M226+M254+M267+M286</f>
        <v>48255270.460000001</v>
      </c>
      <c r="N288" s="26"/>
      <c r="O288" s="6">
        <f>O226+O254+O267+O286</f>
        <v>53232735.18</v>
      </c>
      <c r="Q288" s="102">
        <f>Q226+Q254+Q267+Q286</f>
        <v>1705398.34</v>
      </c>
      <c r="R288" s="75">
        <f>E288-M288-O288-Q288</f>
        <v>-3410796.6800000034</v>
      </c>
      <c r="S288" s="90">
        <f>E288-M288-O288+Q288</f>
        <v>-3.4924596548080444E-9</v>
      </c>
    </row>
    <row r="289" spans="1:19" ht="12.75" customHeight="1" x14ac:dyDescent="0.2">
      <c r="A289" s="38"/>
    </row>
    <row r="290" spans="1:19" ht="12.75" customHeight="1" x14ac:dyDescent="0.2">
      <c r="A290" s="32" t="s">
        <v>87</v>
      </c>
    </row>
    <row r="291" spans="1:19" ht="12.75" customHeight="1" x14ac:dyDescent="0.2">
      <c r="A291" s="34"/>
    </row>
    <row r="292" spans="1:19" ht="12.75" customHeight="1" x14ac:dyDescent="0.2">
      <c r="A292" s="5"/>
      <c r="B292" s="1" t="s">
        <v>11</v>
      </c>
    </row>
    <row r="293" spans="1:19" ht="12.75" customHeight="1" x14ac:dyDescent="0.2">
      <c r="A293" s="5"/>
      <c r="B293" s="5"/>
      <c r="C293" s="1" t="s">
        <v>88</v>
      </c>
      <c r="D293" s="1"/>
    </row>
    <row r="294" spans="1:19" ht="12.75" customHeight="1" x14ac:dyDescent="0.2">
      <c r="A294" s="5"/>
      <c r="B294" s="5"/>
      <c r="C294" s="5"/>
      <c r="D294" s="1" t="s">
        <v>89</v>
      </c>
      <c r="E294" s="31">
        <f>SUM(G294:K294)</f>
        <v>1152405.4099999999</v>
      </c>
      <c r="G294" s="50"/>
      <c r="H294" s="49"/>
      <c r="I294" s="50">
        <v>1152405.4099999999</v>
      </c>
      <c r="J294" s="49"/>
      <c r="K294" s="50"/>
      <c r="L294" s="49"/>
      <c r="M294" s="50">
        <v>556614.81999999995</v>
      </c>
      <c r="N294" s="50"/>
      <c r="O294" s="50">
        <v>595722.59</v>
      </c>
      <c r="P294" s="49"/>
      <c r="Q294" s="50">
        <v>-68</v>
      </c>
      <c r="R294" s="47">
        <f>E294-M294-O294-Q294</f>
        <v>136</v>
      </c>
      <c r="S294" s="50">
        <f t="shared" ref="S294:S296" si="41">E294-M294-O294+Q294</f>
        <v>0</v>
      </c>
    </row>
    <row r="295" spans="1:19" ht="12.75" customHeight="1" x14ac:dyDescent="0.2">
      <c r="A295" s="5"/>
      <c r="B295" s="5"/>
      <c r="C295" s="5"/>
      <c r="D295" s="1" t="s">
        <v>90</v>
      </c>
      <c r="E295" s="31">
        <f>SUM(G295:K295)</f>
        <v>430224.03</v>
      </c>
      <c r="G295" s="50"/>
      <c r="H295" s="49"/>
      <c r="I295" s="50">
        <v>430224.03</v>
      </c>
      <c r="J295" s="49"/>
      <c r="K295" s="50"/>
      <c r="L295" s="49"/>
      <c r="M295" s="50">
        <v>193252.5</v>
      </c>
      <c r="N295" s="50"/>
      <c r="O295" s="50">
        <v>236971.53</v>
      </c>
      <c r="P295" s="49"/>
      <c r="Q295" s="50"/>
      <c r="R295" s="47">
        <f>E295-M295-O295-Q295</f>
        <v>2.9103830456733704E-11</v>
      </c>
      <c r="S295" s="50">
        <f t="shared" si="41"/>
        <v>2.9103830456733704E-11</v>
      </c>
    </row>
    <row r="296" spans="1:19" ht="12.75" customHeight="1" x14ac:dyDescent="0.2">
      <c r="A296" s="5"/>
      <c r="B296" s="5"/>
      <c r="C296" s="1"/>
      <c r="D296" s="1" t="s">
        <v>259</v>
      </c>
      <c r="E296" s="52">
        <f>G296+I296+K296</f>
        <v>1681023.19</v>
      </c>
      <c r="G296" s="51">
        <v>568.27</v>
      </c>
      <c r="H296" s="49"/>
      <c r="I296" s="51">
        <v>1680454.92</v>
      </c>
      <c r="J296" s="49"/>
      <c r="K296" s="51"/>
      <c r="L296" s="49"/>
      <c r="M296" s="51">
        <v>840126.61</v>
      </c>
      <c r="N296" s="50"/>
      <c r="O296" s="51">
        <v>2221571.2200000002</v>
      </c>
      <c r="P296" s="49"/>
      <c r="Q296" s="51">
        <v>1380674.64</v>
      </c>
      <c r="R296" s="47">
        <f>E296-M296-O296-Q296</f>
        <v>-2761349.2800000003</v>
      </c>
      <c r="S296" s="50">
        <f t="shared" si="41"/>
        <v>0</v>
      </c>
    </row>
    <row r="297" spans="1:19" ht="12.75" customHeight="1" x14ac:dyDescent="0.2">
      <c r="A297" s="5"/>
      <c r="B297" s="34"/>
    </row>
    <row r="298" spans="1:19" s="68" customFormat="1" ht="12.75" customHeight="1" x14ac:dyDescent="0.2">
      <c r="A298" s="67"/>
      <c r="B298" s="67"/>
      <c r="C298" s="67"/>
      <c r="D298" s="85" t="s">
        <v>91</v>
      </c>
      <c r="E298" s="102">
        <f>SUM(E294:E296)</f>
        <v>3263652.63</v>
      </c>
      <c r="F298" s="74"/>
      <c r="G298" s="83">
        <f>SUM(G294:G296)</f>
        <v>568.27</v>
      </c>
      <c r="I298" s="102">
        <f>SUM(I294:I296)</f>
        <v>3263084.36</v>
      </c>
      <c r="J298" s="91"/>
      <c r="K298" s="102">
        <f>SUM(K294:K296)</f>
        <v>0</v>
      </c>
      <c r="L298" s="91"/>
      <c r="M298" s="102">
        <f>SUM(M294:M296)</f>
        <v>1589993.93</v>
      </c>
      <c r="N298" s="91"/>
      <c r="O298" s="102">
        <f>SUM(O294:O296)</f>
        <v>3054265.3400000003</v>
      </c>
      <c r="P298" s="91"/>
      <c r="Q298" s="102">
        <f>SUM(Q294:Q296)</f>
        <v>1380606.64</v>
      </c>
      <c r="R298" s="75">
        <f>E298-M298-O298-Q298</f>
        <v>-2761213.2800000003</v>
      </c>
      <c r="S298" s="90">
        <f>E298-M298-O298+Q298</f>
        <v>0</v>
      </c>
    </row>
    <row r="299" spans="1:19" ht="12.75" customHeight="1" x14ac:dyDescent="0.2">
      <c r="A299" s="5"/>
      <c r="B299" s="1"/>
      <c r="E299" s="103"/>
      <c r="G299" s="35"/>
      <c r="I299" s="35"/>
      <c r="K299" s="35"/>
      <c r="M299" s="35"/>
      <c r="O299" s="35"/>
      <c r="Q299" s="35"/>
      <c r="S299" s="91"/>
    </row>
    <row r="300" spans="1:19" ht="12.75" customHeight="1" x14ac:dyDescent="0.2">
      <c r="A300" s="32" t="s">
        <v>272</v>
      </c>
      <c r="B300" s="33"/>
      <c r="E300" s="91"/>
      <c r="S300" s="91"/>
    </row>
    <row r="301" spans="1:19" ht="12.75" customHeight="1" x14ac:dyDescent="0.2">
      <c r="A301" s="34"/>
      <c r="E301" s="91"/>
      <c r="S301" s="91"/>
    </row>
    <row r="302" spans="1:19" ht="12.75" customHeight="1" x14ac:dyDescent="0.2">
      <c r="A302" s="5"/>
      <c r="B302" s="1" t="s">
        <v>113</v>
      </c>
      <c r="E302" s="104">
        <f>G302+I302+K302</f>
        <v>0</v>
      </c>
      <c r="G302" s="51">
        <v>0</v>
      </c>
      <c r="H302" s="49"/>
      <c r="I302" s="51"/>
      <c r="J302" s="49"/>
      <c r="K302" s="51" t="s">
        <v>19</v>
      </c>
      <c r="L302" s="49"/>
      <c r="M302" s="51" t="s">
        <v>19</v>
      </c>
      <c r="N302" s="50"/>
      <c r="O302" s="51"/>
      <c r="P302" s="49"/>
      <c r="Q302" s="51">
        <v>0</v>
      </c>
      <c r="R302" s="47">
        <f>E302-M302-O302-Q302</f>
        <v>0</v>
      </c>
      <c r="S302" s="90">
        <f>E302-M302-O302+Q302</f>
        <v>0</v>
      </c>
    </row>
    <row r="303" spans="1:19" ht="12.75" customHeight="1" x14ac:dyDescent="0.2">
      <c r="A303" s="38"/>
      <c r="E303" s="91"/>
      <c r="S303" s="91"/>
    </row>
    <row r="304" spans="1:19" ht="12.75" customHeight="1" x14ac:dyDescent="0.2">
      <c r="A304" s="32" t="s">
        <v>86</v>
      </c>
      <c r="B304" s="33"/>
      <c r="E304" s="91"/>
      <c r="S304" s="91"/>
    </row>
    <row r="305" spans="1:19" ht="12.75" customHeight="1" x14ac:dyDescent="0.2">
      <c r="A305" s="34"/>
      <c r="E305" s="91"/>
      <c r="S305" s="91"/>
    </row>
    <row r="306" spans="1:19" s="68" customFormat="1" ht="12.75" customHeight="1" x14ac:dyDescent="0.2">
      <c r="A306" s="67"/>
      <c r="B306" s="85" t="s">
        <v>11</v>
      </c>
      <c r="E306" s="104">
        <f>G306+I306+K306</f>
        <v>7812864.0899999999</v>
      </c>
      <c r="F306" s="74"/>
      <c r="G306" s="86">
        <v>22260</v>
      </c>
      <c r="H306" s="84"/>
      <c r="I306" s="98">
        <v>7732670.0899999999</v>
      </c>
      <c r="J306" s="90"/>
      <c r="K306" s="98">
        <v>57934</v>
      </c>
      <c r="L306" s="90"/>
      <c r="M306" s="98">
        <v>6538205.0700000003</v>
      </c>
      <c r="N306" s="90"/>
      <c r="O306" s="98">
        <v>1273987.02</v>
      </c>
      <c r="P306" s="90"/>
      <c r="Q306" s="98">
        <v>-672</v>
      </c>
      <c r="R306" s="75">
        <f>E306-M306-O306-Q306</f>
        <v>1343.9999999995343</v>
      </c>
      <c r="S306" s="90">
        <f>E306-M306-O306+Q306</f>
        <v>-4.6566128730773926E-10</v>
      </c>
    </row>
    <row r="307" spans="1:19" ht="12.75" customHeight="1" x14ac:dyDescent="0.2">
      <c r="A307" s="38"/>
    </row>
    <row r="308" spans="1:19" ht="12.75" customHeight="1" x14ac:dyDescent="0.2">
      <c r="A308" s="32" t="s">
        <v>187</v>
      </c>
      <c r="Q308" s="17"/>
    </row>
    <row r="309" spans="1:19" ht="12.75" customHeight="1" x14ac:dyDescent="0.2">
      <c r="A309" s="5"/>
      <c r="B309" s="43" t="s">
        <v>188</v>
      </c>
      <c r="Q309" s="17"/>
    </row>
    <row r="310" spans="1:19" ht="12.75" customHeight="1" x14ac:dyDescent="0.2">
      <c r="A310" s="34"/>
    </row>
    <row r="311" spans="1:19" ht="12.75" customHeight="1" x14ac:dyDescent="0.2">
      <c r="A311" s="5"/>
      <c r="C311" s="1" t="s">
        <v>189</v>
      </c>
      <c r="D311" s="1"/>
      <c r="E311" s="31">
        <f t="shared" ref="E311:E320" si="42">SUM(G311:K311)</f>
        <v>3876188.93</v>
      </c>
      <c r="G311" s="50">
        <v>1310195.28</v>
      </c>
      <c r="H311" s="49"/>
      <c r="I311" s="50">
        <v>2565819.5</v>
      </c>
      <c r="J311" s="49"/>
      <c r="K311" s="50">
        <v>174.15</v>
      </c>
      <c r="L311" s="49"/>
      <c r="M311" s="50">
        <v>1167325.5</v>
      </c>
      <c r="N311" s="50"/>
      <c r="O311" s="50">
        <v>3225574.93</v>
      </c>
      <c r="P311" s="49"/>
      <c r="Q311" s="50">
        <v>516711.5</v>
      </c>
      <c r="R311" s="47">
        <f t="shared" ref="R311:R320" si="43">E311-M311-O311-Q311</f>
        <v>-1033423</v>
      </c>
      <c r="S311" s="50">
        <f t="shared" ref="S311:S322" si="44">E311-M311-O311+Q311</f>
        <v>0</v>
      </c>
    </row>
    <row r="312" spans="1:19" ht="12.75" customHeight="1" x14ac:dyDescent="0.2">
      <c r="A312" s="5"/>
      <c r="C312" s="1" t="s">
        <v>190</v>
      </c>
      <c r="D312" s="1"/>
      <c r="E312" s="31">
        <f t="shared" si="42"/>
        <v>12527517.32</v>
      </c>
      <c r="G312" s="50">
        <v>10820311.130000001</v>
      </c>
      <c r="H312" s="49"/>
      <c r="I312" s="50">
        <f>1584322.51+121634.18</f>
        <v>1705956.69</v>
      </c>
      <c r="J312" s="49"/>
      <c r="K312" s="50">
        <v>1249.5</v>
      </c>
      <c r="L312" s="49"/>
      <c r="M312" s="50">
        <v>3033966.54</v>
      </c>
      <c r="N312" s="50"/>
      <c r="O312" s="50">
        <f>12224510.08+151655.41</f>
        <v>12376165.49</v>
      </c>
      <c r="P312" s="49"/>
      <c r="Q312" s="50">
        <f>2852593.48+30021.23</f>
        <v>2882614.71</v>
      </c>
      <c r="R312" s="47">
        <f t="shared" si="43"/>
        <v>-5765229.419999999</v>
      </c>
      <c r="S312" s="50">
        <f t="shared" si="44"/>
        <v>0</v>
      </c>
    </row>
    <row r="313" spans="1:19" ht="12.75" customHeight="1" x14ac:dyDescent="0.2">
      <c r="A313" s="5"/>
      <c r="C313" s="1" t="s">
        <v>191</v>
      </c>
      <c r="D313" s="1"/>
      <c r="E313" s="31">
        <f t="shared" si="42"/>
        <v>3157813.5100000002</v>
      </c>
      <c r="G313" s="50">
        <v>3040397.33</v>
      </c>
      <c r="H313" s="49"/>
      <c r="I313" s="50">
        <v>117416.18</v>
      </c>
      <c r="J313" s="49"/>
      <c r="K313" s="50"/>
      <c r="L313" s="49"/>
      <c r="M313" s="50">
        <v>1733530.63</v>
      </c>
      <c r="N313" s="50"/>
      <c r="O313" s="50">
        <v>2409101.9700000002</v>
      </c>
      <c r="P313" s="49"/>
      <c r="Q313" s="50">
        <v>984819.09</v>
      </c>
      <c r="R313" s="47">
        <f t="shared" si="43"/>
        <v>-1969638.1799999997</v>
      </c>
      <c r="S313" s="50">
        <f t="shared" si="44"/>
        <v>0</v>
      </c>
    </row>
    <row r="314" spans="1:19" ht="12.75" customHeight="1" x14ac:dyDescent="0.2">
      <c r="A314" s="5"/>
      <c r="C314" s="1" t="s">
        <v>192</v>
      </c>
      <c r="D314" s="1"/>
      <c r="E314" s="31">
        <f t="shared" si="42"/>
        <v>7988378.4600000009</v>
      </c>
      <c r="G314" s="50">
        <v>7282879.2300000004</v>
      </c>
      <c r="H314" s="49"/>
      <c r="I314" s="50">
        <v>705499.23</v>
      </c>
      <c r="J314" s="49"/>
      <c r="K314" s="50"/>
      <c r="L314" s="49"/>
      <c r="M314" s="50">
        <v>4980007.83</v>
      </c>
      <c r="N314" s="50"/>
      <c r="O314" s="50">
        <v>4107188.88</v>
      </c>
      <c r="P314" s="49"/>
      <c r="Q314" s="50">
        <v>1098818.25</v>
      </c>
      <c r="R314" s="47">
        <f t="shared" si="43"/>
        <v>-2197636.4999999991</v>
      </c>
      <c r="S314" s="50">
        <f t="shared" si="44"/>
        <v>0</v>
      </c>
    </row>
    <row r="315" spans="1:19" ht="12.75" customHeight="1" x14ac:dyDescent="0.2">
      <c r="A315" s="5"/>
      <c r="C315" s="1" t="s">
        <v>193</v>
      </c>
      <c r="D315" s="1"/>
      <c r="E315" s="31">
        <f t="shared" si="42"/>
        <v>1667187.02</v>
      </c>
      <c r="G315" s="50">
        <v>439639.31</v>
      </c>
      <c r="H315" s="49"/>
      <c r="I315" s="50">
        <v>1226298.6599999999</v>
      </c>
      <c r="J315" s="49"/>
      <c r="K315" s="50">
        <v>1249.05</v>
      </c>
      <c r="L315" s="49"/>
      <c r="M315" s="50">
        <v>5708049.4900000002</v>
      </c>
      <c r="N315" s="50"/>
      <c r="O315" s="50">
        <v>19576667.140000001</v>
      </c>
      <c r="P315" s="49"/>
      <c r="Q315" s="50">
        <v>23617529.609999999</v>
      </c>
      <c r="R315" s="47">
        <f t="shared" si="43"/>
        <v>-47235059.219999999</v>
      </c>
      <c r="S315" s="50">
        <f t="shared" si="44"/>
        <v>0</v>
      </c>
    </row>
    <row r="316" spans="1:19" ht="12.75" customHeight="1" x14ac:dyDescent="0.2">
      <c r="A316" s="5"/>
      <c r="C316" s="1" t="s">
        <v>194</v>
      </c>
      <c r="D316" s="1"/>
      <c r="E316" s="31">
        <f t="shared" si="42"/>
        <v>462807.57999999996</v>
      </c>
      <c r="G316" s="50">
        <v>408867.47</v>
      </c>
      <c r="H316" s="49"/>
      <c r="I316" s="50">
        <v>53940.11</v>
      </c>
      <c r="J316" s="49"/>
      <c r="K316" s="50"/>
      <c r="L316" s="49"/>
      <c r="M316" s="50"/>
      <c r="N316" s="50"/>
      <c r="O316" s="50">
        <v>537599.57999999996</v>
      </c>
      <c r="P316" s="49"/>
      <c r="Q316" s="50">
        <v>74792</v>
      </c>
      <c r="R316" s="47">
        <f t="shared" si="43"/>
        <v>-149584</v>
      </c>
      <c r="S316" s="50">
        <f t="shared" si="44"/>
        <v>0</v>
      </c>
    </row>
    <row r="317" spans="1:19" ht="12.75" customHeight="1" x14ac:dyDescent="0.2">
      <c r="A317" s="5"/>
      <c r="C317" s="1" t="s">
        <v>195</v>
      </c>
      <c r="D317" s="1"/>
      <c r="E317" s="31">
        <f t="shared" si="42"/>
        <v>10877349.199999999</v>
      </c>
      <c r="G317" s="50">
        <v>9645362.2100000009</v>
      </c>
      <c r="H317" s="49"/>
      <c r="I317" s="50">
        <v>1217561.29</v>
      </c>
      <c r="J317" s="49"/>
      <c r="K317" s="50">
        <v>14425.7</v>
      </c>
      <c r="L317" s="49"/>
      <c r="M317" s="50">
        <v>1240468.29</v>
      </c>
      <c r="N317" s="50"/>
      <c r="O317" s="50">
        <v>11376521.859999999</v>
      </c>
      <c r="P317" s="49"/>
      <c r="Q317" s="50">
        <v>1739640.95</v>
      </c>
      <c r="R317" s="47">
        <f t="shared" si="43"/>
        <v>-3479281.8999999994</v>
      </c>
      <c r="S317" s="50">
        <f t="shared" si="44"/>
        <v>0</v>
      </c>
    </row>
    <row r="318" spans="1:19" ht="12.75" customHeight="1" x14ac:dyDescent="0.2">
      <c r="A318" s="5"/>
      <c r="C318" s="1" t="s">
        <v>220</v>
      </c>
      <c r="D318" s="1"/>
      <c r="E318" s="31">
        <f t="shared" si="42"/>
        <v>95995.34</v>
      </c>
      <c r="G318" s="50"/>
      <c r="H318" s="49"/>
      <c r="I318" s="50">
        <v>95995.34</v>
      </c>
      <c r="J318" s="49"/>
      <c r="K318" s="50"/>
      <c r="L318" s="49"/>
      <c r="M318" s="50">
        <v>24181.82</v>
      </c>
      <c r="N318" s="50"/>
      <c r="O318" s="50">
        <v>71813.52</v>
      </c>
      <c r="P318" s="49"/>
      <c r="Q318" s="50"/>
      <c r="R318" s="47">
        <f t="shared" si="43"/>
        <v>-1.4551915228366852E-11</v>
      </c>
      <c r="S318" s="50">
        <f t="shared" si="44"/>
        <v>-1.4551915228366852E-11</v>
      </c>
    </row>
    <row r="319" spans="1:19" ht="12.75" customHeight="1" x14ac:dyDescent="0.2">
      <c r="A319" s="5"/>
      <c r="C319" s="1" t="s">
        <v>196</v>
      </c>
      <c r="D319" s="1"/>
      <c r="E319" s="31">
        <f t="shared" si="42"/>
        <v>3034203.33</v>
      </c>
      <c r="G319" s="50">
        <v>1099814.8</v>
      </c>
      <c r="H319" s="49"/>
      <c r="I319" s="50">
        <v>1922638.53</v>
      </c>
      <c r="J319" s="49"/>
      <c r="K319" s="50">
        <v>11750</v>
      </c>
      <c r="L319" s="49"/>
      <c r="M319" s="50">
        <v>67824.37</v>
      </c>
      <c r="N319" s="50"/>
      <c r="O319" s="50">
        <v>2966378.96</v>
      </c>
      <c r="P319" s="49"/>
      <c r="Q319" s="50"/>
      <c r="R319" s="47">
        <f t="shared" si="43"/>
        <v>0</v>
      </c>
      <c r="S319" s="50">
        <f t="shared" si="44"/>
        <v>0</v>
      </c>
    </row>
    <row r="320" spans="1:19" ht="12.75" customHeight="1" x14ac:dyDescent="0.2">
      <c r="A320" s="5"/>
      <c r="C320" s="1" t="s">
        <v>100</v>
      </c>
      <c r="D320" s="1"/>
      <c r="E320" s="31">
        <f t="shared" si="42"/>
        <v>42427.880000000005</v>
      </c>
      <c r="G320" s="50">
        <v>88397.3</v>
      </c>
      <c r="H320" s="49"/>
      <c r="I320" s="50">
        <f>-7416-38553.42</f>
        <v>-45969.42</v>
      </c>
      <c r="J320" s="49"/>
      <c r="K320" s="50"/>
      <c r="L320" s="49"/>
      <c r="M320" s="50">
        <v>41569.839999999997</v>
      </c>
      <c r="N320" s="50"/>
      <c r="O320" s="50">
        <f>-7416+8274.04</f>
        <v>858.04000000000087</v>
      </c>
      <c r="P320" s="49"/>
      <c r="Q320" s="50"/>
      <c r="R320" s="47">
        <f t="shared" si="43"/>
        <v>7.2759576141834259E-12</v>
      </c>
      <c r="S320" s="50">
        <f t="shared" si="44"/>
        <v>7.2759576141834259E-12</v>
      </c>
    </row>
    <row r="321" spans="1:19" ht="12.75" customHeight="1" x14ac:dyDescent="0.2">
      <c r="E321" s="70"/>
      <c r="S321" s="50">
        <f t="shared" si="44"/>
        <v>0</v>
      </c>
    </row>
    <row r="322" spans="1:19" ht="12.75" customHeight="1" x14ac:dyDescent="0.2">
      <c r="A322" s="5"/>
      <c r="C322" s="1" t="s">
        <v>101</v>
      </c>
      <c r="D322" s="1"/>
      <c r="E322" s="71">
        <f>G322+I322+K322</f>
        <v>0</v>
      </c>
      <c r="G322" s="51">
        <v>-13944578.050000001</v>
      </c>
      <c r="H322" s="49"/>
      <c r="I322" s="51">
        <v>13944578.050000001</v>
      </c>
      <c r="J322" s="49"/>
      <c r="K322" s="51"/>
      <c r="L322" s="49"/>
      <c r="M322" s="51"/>
      <c r="N322" s="50"/>
      <c r="O322" s="51"/>
      <c r="P322" s="49"/>
      <c r="Q322" s="51"/>
      <c r="R322" s="47">
        <f>E322-M322-O322-Q322</f>
        <v>0</v>
      </c>
      <c r="S322" s="50">
        <f t="shared" si="44"/>
        <v>0</v>
      </c>
    </row>
    <row r="323" spans="1:19" ht="12.75" customHeight="1" x14ac:dyDescent="0.2">
      <c r="A323" s="34"/>
    </row>
    <row r="324" spans="1:19" ht="12.75" customHeight="1" x14ac:dyDescent="0.2">
      <c r="A324" s="5"/>
      <c r="B324" s="5"/>
      <c r="C324" s="5"/>
      <c r="D324" s="1" t="s">
        <v>197</v>
      </c>
      <c r="E324" s="26">
        <v>323546.36</v>
      </c>
    </row>
    <row r="325" spans="1:19" s="68" customFormat="1" ht="12.75" customHeight="1" x14ac:dyDescent="0.2">
      <c r="A325" s="67"/>
      <c r="B325" s="67"/>
      <c r="C325" s="67"/>
      <c r="D325" s="85" t="s">
        <v>198</v>
      </c>
      <c r="E325" s="102">
        <f>SUM(E311:E322)</f>
        <v>43729868.57</v>
      </c>
      <c r="F325" s="99"/>
      <c r="G325" s="102">
        <f>SUM(G311:G322)</f>
        <v>20191286.009999994</v>
      </c>
      <c r="H325" s="91"/>
      <c r="I325" s="102">
        <f>SUM(I311:I322)</f>
        <v>23509734.16</v>
      </c>
      <c r="J325" s="91"/>
      <c r="K325" s="102">
        <f>SUM(K311:K322)</f>
        <v>28848.400000000001</v>
      </c>
      <c r="L325" s="91"/>
      <c r="M325" s="102">
        <f>SUM(M311:M322)</f>
        <v>17996924.310000002</v>
      </c>
      <c r="N325" s="91"/>
      <c r="O325" s="102">
        <f>SUM(O311:O322)</f>
        <v>56647870.369999997</v>
      </c>
      <c r="P325" s="91"/>
      <c r="Q325" s="102">
        <f>SUM(Q311:Q322)</f>
        <v>30914926.109999999</v>
      </c>
      <c r="R325" s="75">
        <f>E325-G325-I325-K325</f>
        <v>5.9590092860162258E-9</v>
      </c>
      <c r="S325" s="90">
        <f>E325-M325-O325+Q325</f>
        <v>0</v>
      </c>
    </row>
    <row r="326" spans="1:19" ht="12.75" customHeight="1" x14ac:dyDescent="0.2">
      <c r="A326" s="38"/>
      <c r="E326" s="70"/>
    </row>
    <row r="327" spans="1:19" ht="12.75" customHeight="1" x14ac:dyDescent="0.2">
      <c r="A327" s="32" t="s">
        <v>130</v>
      </c>
    </row>
    <row r="328" spans="1:19" ht="12.75" customHeight="1" x14ac:dyDescent="0.2">
      <c r="A328" s="34"/>
    </row>
    <row r="329" spans="1:19" ht="12.75" customHeight="1" x14ac:dyDescent="0.2">
      <c r="A329" s="34"/>
      <c r="B329" s="17">
        <v>1</v>
      </c>
      <c r="C329" s="1" t="s">
        <v>131</v>
      </c>
      <c r="D329" s="1"/>
      <c r="E329" s="31">
        <f>SUM(G329:K329)</f>
        <v>10184779.289999999</v>
      </c>
      <c r="G329" s="50">
        <v>108326.83</v>
      </c>
      <c r="H329" s="49"/>
      <c r="I329" s="50">
        <v>10074968.439999999</v>
      </c>
      <c r="J329" s="49"/>
      <c r="K329" s="50">
        <v>1484.02</v>
      </c>
      <c r="L329" s="49"/>
      <c r="M329" s="50">
        <v>5934426.4800000004</v>
      </c>
      <c r="N329" s="50"/>
      <c r="O329" s="50">
        <v>4309089.7699999996</v>
      </c>
      <c r="P329" s="49"/>
      <c r="Q329" s="50">
        <v>58436.959999999999</v>
      </c>
      <c r="R329" s="47">
        <f t="shared" ref="R329:R340" si="45">E329-M329-O329-Q329</f>
        <v>-117173.92000000089</v>
      </c>
      <c r="S329" s="50">
        <f t="shared" ref="S329:S357" si="46">E329-M329-O329+Q329</f>
        <v>-300.00000000089494</v>
      </c>
    </row>
    <row r="330" spans="1:19" ht="12.75" customHeight="1" x14ac:dyDescent="0.2">
      <c r="A330" s="34"/>
      <c r="B330" s="17">
        <v>2</v>
      </c>
      <c r="C330" s="1" t="s">
        <v>132</v>
      </c>
      <c r="D330" s="1"/>
      <c r="E330" s="31">
        <f>SUM(G330:K330)</f>
        <v>7418584</v>
      </c>
      <c r="G330" s="50"/>
      <c r="H330" s="49"/>
      <c r="I330" s="50">
        <v>7413084</v>
      </c>
      <c r="J330" s="49"/>
      <c r="K330" s="50">
        <v>5500</v>
      </c>
      <c r="L330" s="49"/>
      <c r="M330" s="50">
        <v>2515586.86</v>
      </c>
      <c r="N330" s="50"/>
      <c r="O330" s="50">
        <v>4902997.1399999997</v>
      </c>
      <c r="P330" s="49"/>
      <c r="Q330" s="50"/>
      <c r="R330" s="47">
        <f t="shared" si="45"/>
        <v>9.3132257461547852E-10</v>
      </c>
      <c r="S330" s="50">
        <f t="shared" si="46"/>
        <v>9.3132257461547852E-10</v>
      </c>
    </row>
    <row r="331" spans="1:19" ht="12.75" customHeight="1" x14ac:dyDescent="0.2">
      <c r="A331" s="34"/>
      <c r="B331" s="17">
        <v>3</v>
      </c>
      <c r="C331" s="1" t="s">
        <v>133</v>
      </c>
      <c r="D331" s="1"/>
      <c r="E331" s="31">
        <f>SUM(G331:K331)</f>
        <v>2240838.7200000002</v>
      </c>
      <c r="G331" s="50">
        <v>20141.73</v>
      </c>
      <c r="H331" s="49"/>
      <c r="I331" s="50">
        <v>2215325.81</v>
      </c>
      <c r="J331" s="49"/>
      <c r="K331" s="50">
        <v>5371.18</v>
      </c>
      <c r="L331" s="49"/>
      <c r="M331" s="50">
        <v>1635932.48</v>
      </c>
      <c r="N331" s="50"/>
      <c r="O331" s="50">
        <v>633020.66</v>
      </c>
      <c r="P331" s="49"/>
      <c r="Q331" s="50">
        <v>28114.42</v>
      </c>
      <c r="R331" s="47">
        <f t="shared" si="45"/>
        <v>-56228.839999999807</v>
      </c>
      <c r="S331" s="50">
        <f t="shared" si="46"/>
        <v>1.8917489796876907E-10</v>
      </c>
    </row>
    <row r="332" spans="1:19" ht="12.75" customHeight="1" x14ac:dyDescent="0.2">
      <c r="A332" s="34"/>
      <c r="B332" s="17">
        <v>5</v>
      </c>
      <c r="C332" s="1" t="s">
        <v>134</v>
      </c>
      <c r="D332" s="1"/>
      <c r="E332" s="31">
        <f t="shared" ref="E332:E340" si="47">SUM(G332:K332)</f>
        <v>260076.25</v>
      </c>
      <c r="G332" s="50"/>
      <c r="H332" s="49"/>
      <c r="I332" s="50">
        <v>260076.25</v>
      </c>
      <c r="J332" s="49"/>
      <c r="K332" s="50"/>
      <c r="L332" s="49"/>
      <c r="M332" s="50">
        <v>150973.46</v>
      </c>
      <c r="N332" s="50"/>
      <c r="O332" s="50">
        <v>108430.79</v>
      </c>
      <c r="P332" s="49"/>
      <c r="Q332" s="50">
        <v>-672</v>
      </c>
      <c r="R332" s="47">
        <f t="shared" si="45"/>
        <v>1344.0000000000146</v>
      </c>
      <c r="S332" s="50">
        <f t="shared" si="46"/>
        <v>1.4551915228366852E-11</v>
      </c>
    </row>
    <row r="333" spans="1:19" ht="12.75" customHeight="1" x14ac:dyDescent="0.2">
      <c r="A333" s="34"/>
      <c r="B333" s="17">
        <v>6</v>
      </c>
      <c r="C333" s="1" t="s">
        <v>135</v>
      </c>
      <c r="D333" s="1"/>
      <c r="E333" s="31">
        <f t="shared" si="47"/>
        <v>4008048.8099999996</v>
      </c>
      <c r="G333" s="50">
        <v>576.9</v>
      </c>
      <c r="H333" s="49"/>
      <c r="I333" s="50">
        <v>3989019.36</v>
      </c>
      <c r="J333" s="49"/>
      <c r="K333" s="50">
        <v>18452.55</v>
      </c>
      <c r="L333" s="49"/>
      <c r="M333" s="50">
        <v>2637696.1800000002</v>
      </c>
      <c r="N333" s="50"/>
      <c r="O333" s="50">
        <v>1365667.63</v>
      </c>
      <c r="P333" s="49"/>
      <c r="Q333" s="50">
        <v>-4685</v>
      </c>
      <c r="R333" s="47">
        <f t="shared" si="45"/>
        <v>9369.9999999995343</v>
      </c>
      <c r="S333" s="50">
        <f t="shared" si="46"/>
        <v>-4.6566128730773926E-10</v>
      </c>
    </row>
    <row r="334" spans="1:19" ht="12.75" customHeight="1" x14ac:dyDescent="0.2">
      <c r="A334" s="34"/>
      <c r="B334" s="17">
        <v>7</v>
      </c>
      <c r="C334" s="1" t="s">
        <v>242</v>
      </c>
      <c r="D334" s="1"/>
      <c r="E334" s="31">
        <f>SUM(G334:K334)</f>
        <v>455638.33</v>
      </c>
      <c r="G334" s="50"/>
      <c r="H334" s="49"/>
      <c r="I334" s="50">
        <v>455404.33</v>
      </c>
      <c r="J334" s="49"/>
      <c r="K334" s="50">
        <v>234</v>
      </c>
      <c r="L334" s="49"/>
      <c r="M334" s="50">
        <v>261898.25</v>
      </c>
      <c r="N334" s="50"/>
      <c r="O334" s="50">
        <v>193740.08</v>
      </c>
      <c r="P334" s="49"/>
      <c r="Q334" s="50"/>
      <c r="R334" s="47">
        <f t="shared" si="45"/>
        <v>2.9103830456733704E-11</v>
      </c>
      <c r="S334" s="50">
        <f t="shared" si="46"/>
        <v>2.9103830456733704E-11</v>
      </c>
    </row>
    <row r="335" spans="1:19" ht="12.75" customHeight="1" x14ac:dyDescent="0.2">
      <c r="A335" s="34"/>
      <c r="B335" s="17">
        <v>7</v>
      </c>
      <c r="C335" s="1" t="s">
        <v>136</v>
      </c>
      <c r="D335" s="1"/>
      <c r="E335" s="31">
        <f t="shared" si="47"/>
        <v>5169162.3999999994</v>
      </c>
      <c r="G335" s="50">
        <v>54592.1</v>
      </c>
      <c r="H335" s="49"/>
      <c r="I335" s="50">
        <v>4973564.05</v>
      </c>
      <c r="J335" s="49"/>
      <c r="K335" s="50">
        <v>141006.25</v>
      </c>
      <c r="L335" s="49" t="s">
        <v>19</v>
      </c>
      <c r="M335" s="50">
        <v>2639317.09</v>
      </c>
      <c r="N335" s="50" t="s">
        <v>19</v>
      </c>
      <c r="O335" s="50">
        <v>2524416.31</v>
      </c>
      <c r="P335" s="49"/>
      <c r="Q335" s="50">
        <v>-5429</v>
      </c>
      <c r="R335" s="47">
        <f t="shared" si="45"/>
        <v>10857.999999999534</v>
      </c>
      <c r="S335" s="50">
        <f t="shared" si="46"/>
        <v>-4.6566128730773926E-10</v>
      </c>
    </row>
    <row r="336" spans="1:19" ht="12.75" customHeight="1" x14ac:dyDescent="0.2">
      <c r="A336" s="34"/>
      <c r="B336" s="17">
        <v>8</v>
      </c>
      <c r="C336" s="1" t="s">
        <v>137</v>
      </c>
      <c r="D336" s="1"/>
      <c r="E336" s="31">
        <f t="shared" si="47"/>
        <v>973732.73</v>
      </c>
      <c r="G336" s="50">
        <v>3516.82</v>
      </c>
      <c r="H336" s="49"/>
      <c r="I336" s="50">
        <v>966696.98</v>
      </c>
      <c r="J336" s="49"/>
      <c r="K336" s="50">
        <v>3518.93</v>
      </c>
      <c r="L336" s="49"/>
      <c r="M336" s="50">
        <v>712382.93</v>
      </c>
      <c r="N336" s="50"/>
      <c r="O336" s="50">
        <v>260989.8</v>
      </c>
      <c r="P336" s="49"/>
      <c r="Q336" s="50">
        <v>-360</v>
      </c>
      <c r="R336" s="47">
        <f t="shared" si="45"/>
        <v>719.99999999994179</v>
      </c>
      <c r="S336" s="50">
        <f t="shared" si="46"/>
        <v>-5.8207660913467407E-11</v>
      </c>
    </row>
    <row r="337" spans="1:19" ht="12.75" customHeight="1" x14ac:dyDescent="0.2">
      <c r="A337" s="34"/>
      <c r="B337" s="17">
        <v>9</v>
      </c>
      <c r="C337" s="1" t="s">
        <v>138</v>
      </c>
      <c r="D337" s="1"/>
      <c r="E337" s="31">
        <f t="shared" si="47"/>
        <v>776846.03999999992</v>
      </c>
      <c r="G337" s="50">
        <v>2635.95</v>
      </c>
      <c r="H337" s="49"/>
      <c r="I337" s="50">
        <v>761210.09</v>
      </c>
      <c r="J337" s="49"/>
      <c r="K337" s="50">
        <v>13000</v>
      </c>
      <c r="L337" s="49" t="s">
        <v>19</v>
      </c>
      <c r="M337" s="50">
        <v>258414.61</v>
      </c>
      <c r="N337" s="50" t="s">
        <v>19</v>
      </c>
      <c r="O337" s="50">
        <v>541146.69999999995</v>
      </c>
      <c r="P337" s="49" t="s">
        <v>19</v>
      </c>
      <c r="Q337" s="50">
        <v>22715.27</v>
      </c>
      <c r="R337" s="47">
        <f t="shared" si="45"/>
        <v>-45430.540000000023</v>
      </c>
      <c r="S337" s="50">
        <f t="shared" si="46"/>
        <v>0</v>
      </c>
    </row>
    <row r="338" spans="1:19" ht="12.75" customHeight="1" x14ac:dyDescent="0.2">
      <c r="A338" s="34"/>
      <c r="B338" s="17">
        <v>10</v>
      </c>
      <c r="C338" s="1" t="s">
        <v>139</v>
      </c>
      <c r="D338" s="1"/>
      <c r="E338" s="31">
        <f t="shared" si="47"/>
        <v>2049608.2000000002</v>
      </c>
      <c r="G338" s="50">
        <v>35410.720000000001</v>
      </c>
      <c r="H338" s="49"/>
      <c r="I338" s="50">
        <v>2002160.12</v>
      </c>
      <c r="J338" s="49"/>
      <c r="K338" s="50">
        <v>12037.36</v>
      </c>
      <c r="L338" s="49"/>
      <c r="M338" s="50">
        <v>1426848.62</v>
      </c>
      <c r="N338" s="50"/>
      <c r="O338" s="50">
        <v>815100.31</v>
      </c>
      <c r="P338" s="49"/>
      <c r="Q338" s="50">
        <v>192340.73</v>
      </c>
      <c r="R338" s="47">
        <f t="shared" si="45"/>
        <v>-384681.45999999996</v>
      </c>
      <c r="S338" s="50">
        <f t="shared" si="46"/>
        <v>0</v>
      </c>
    </row>
    <row r="339" spans="1:19" ht="12.75" customHeight="1" x14ac:dyDescent="0.2">
      <c r="A339" s="34"/>
      <c r="B339" s="17">
        <v>11</v>
      </c>
      <c r="C339" s="1" t="s">
        <v>140</v>
      </c>
      <c r="D339" s="1"/>
      <c r="E339" s="31">
        <f t="shared" si="47"/>
        <v>11731760.17</v>
      </c>
      <c r="G339" s="50">
        <v>316.5</v>
      </c>
      <c r="H339" s="49"/>
      <c r="I339" s="50">
        <v>10760954.890000001</v>
      </c>
      <c r="J339" s="49"/>
      <c r="K339" s="50">
        <v>970488.78</v>
      </c>
      <c r="L339" s="49"/>
      <c r="M339" s="50">
        <v>5304059.72</v>
      </c>
      <c r="N339" s="50"/>
      <c r="O339" s="50">
        <v>6912343.21</v>
      </c>
      <c r="P339" s="49"/>
      <c r="Q339" s="50">
        <v>484642.76</v>
      </c>
      <c r="R339" s="47">
        <f t="shared" si="45"/>
        <v>-969285.51999999979</v>
      </c>
      <c r="S339" s="50">
        <f t="shared" si="46"/>
        <v>0</v>
      </c>
    </row>
    <row r="340" spans="1:19" ht="12.75" customHeight="1" x14ac:dyDescent="0.2">
      <c r="A340" s="34"/>
      <c r="B340" s="17">
        <v>12</v>
      </c>
      <c r="C340" s="1" t="s">
        <v>243</v>
      </c>
      <c r="D340" s="1"/>
      <c r="E340" s="31">
        <f t="shared" si="47"/>
        <v>13460.7</v>
      </c>
      <c r="G340" s="50"/>
      <c r="H340" s="49"/>
      <c r="I340" s="50">
        <v>13460.7</v>
      </c>
      <c r="J340" s="49"/>
      <c r="K340" s="50"/>
      <c r="L340" s="49"/>
      <c r="M340" s="50">
        <v>4860.3999999999996</v>
      </c>
      <c r="N340" s="50"/>
      <c r="O340" s="50">
        <v>8600.2999999999993</v>
      </c>
      <c r="P340" s="49"/>
      <c r="Q340" s="50"/>
      <c r="R340" s="47">
        <f t="shared" si="45"/>
        <v>1.8189894035458565E-12</v>
      </c>
      <c r="S340" s="50">
        <f t="shared" si="46"/>
        <v>1.8189894035458565E-12</v>
      </c>
    </row>
    <row r="341" spans="1:19" ht="12.75" customHeight="1" x14ac:dyDescent="0.2">
      <c r="A341" s="34"/>
      <c r="B341" s="17">
        <v>14</v>
      </c>
      <c r="C341" s="1" t="s">
        <v>142</v>
      </c>
      <c r="D341" s="1"/>
      <c r="E341" s="31">
        <f t="shared" ref="E341:E345" si="48">SUM(G341:K341)</f>
        <v>1011099.65</v>
      </c>
      <c r="G341" s="50">
        <v>7818.52</v>
      </c>
      <c r="H341" s="49"/>
      <c r="I341" s="50">
        <v>983302.71</v>
      </c>
      <c r="J341" s="49"/>
      <c r="K341" s="50">
        <v>19978.419999999998</v>
      </c>
      <c r="L341" s="49"/>
      <c r="M341" s="50">
        <v>676733.11</v>
      </c>
      <c r="N341" s="50"/>
      <c r="O341" s="50">
        <v>334163.53999999998</v>
      </c>
      <c r="P341" s="49"/>
      <c r="Q341" s="50">
        <v>-203</v>
      </c>
      <c r="R341" s="47">
        <f t="shared" ref="R341:R345" si="49">E341-M341-O341-Q341</f>
        <v>406.00000000005821</v>
      </c>
      <c r="S341" s="50">
        <f t="shared" si="46"/>
        <v>5.8207660913467407E-11</v>
      </c>
    </row>
    <row r="342" spans="1:19" ht="12.75" customHeight="1" x14ac:dyDescent="0.2">
      <c r="A342" s="34"/>
      <c r="B342" s="17">
        <v>15</v>
      </c>
      <c r="C342" s="1" t="s">
        <v>143</v>
      </c>
      <c r="D342" s="1"/>
      <c r="E342" s="31">
        <f t="shared" si="48"/>
        <v>1059115.3599999999</v>
      </c>
      <c r="G342" s="50">
        <v>80390.559999999998</v>
      </c>
      <c r="H342" s="49"/>
      <c r="I342" s="50">
        <v>977503.67</v>
      </c>
      <c r="J342" s="49"/>
      <c r="K342" s="50">
        <v>1221.1300000000001</v>
      </c>
      <c r="L342" s="49"/>
      <c r="M342" s="50">
        <v>646114.37</v>
      </c>
      <c r="N342" s="50"/>
      <c r="O342" s="50">
        <v>410510.99</v>
      </c>
      <c r="P342" s="49"/>
      <c r="Q342" s="50">
        <v>-2490</v>
      </c>
      <c r="R342" s="47">
        <f t="shared" si="49"/>
        <v>4979.9999999998836</v>
      </c>
      <c r="S342" s="50">
        <f t="shared" si="46"/>
        <v>-1.1641532182693481E-10</v>
      </c>
    </row>
    <row r="343" spans="1:19" ht="12.75" customHeight="1" x14ac:dyDescent="0.2">
      <c r="A343" s="34"/>
      <c r="B343" s="17">
        <v>16</v>
      </c>
      <c r="C343" s="1" t="s">
        <v>144</v>
      </c>
      <c r="D343" s="1"/>
      <c r="E343" s="31">
        <f t="shared" si="48"/>
        <v>261268.24</v>
      </c>
      <c r="G343" s="50">
        <v>192707.6</v>
      </c>
      <c r="H343" s="49"/>
      <c r="I343" s="50">
        <v>68560.639999999999</v>
      </c>
      <c r="J343" s="49"/>
      <c r="K343" s="50"/>
      <c r="L343" s="49"/>
      <c r="M343" s="50">
        <v>140499.54999999999</v>
      </c>
      <c r="N343" s="50"/>
      <c r="O343" s="50">
        <v>120118.69</v>
      </c>
      <c r="P343" s="49"/>
      <c r="Q343" s="50">
        <v>-650</v>
      </c>
      <c r="R343" s="47">
        <f t="shared" si="49"/>
        <v>1300</v>
      </c>
      <c r="S343" s="50">
        <f t="shared" si="46"/>
        <v>0</v>
      </c>
    </row>
    <row r="344" spans="1:19" ht="12.75" customHeight="1" x14ac:dyDescent="0.2">
      <c r="A344" s="34"/>
      <c r="B344" s="17">
        <v>17</v>
      </c>
      <c r="C344" s="1" t="s">
        <v>145</v>
      </c>
      <c r="D344" s="1"/>
      <c r="E344" s="31">
        <f t="shared" si="48"/>
        <v>5824773.71</v>
      </c>
      <c r="G344" s="50">
        <v>8550.59</v>
      </c>
      <c r="H344" s="49"/>
      <c r="I344" s="50">
        <v>5627203.6100000003</v>
      </c>
      <c r="J344" s="49"/>
      <c r="K344" s="50">
        <v>189019.51</v>
      </c>
      <c r="L344" s="49"/>
      <c r="M344" s="50">
        <v>3503682.84</v>
      </c>
      <c r="N344" s="50"/>
      <c r="O344" s="50">
        <v>2315582.87</v>
      </c>
      <c r="P344" s="49"/>
      <c r="Q344" s="50">
        <v>-5508</v>
      </c>
      <c r="R344" s="47">
        <f t="shared" si="49"/>
        <v>11016</v>
      </c>
      <c r="S344" s="50">
        <f t="shared" si="46"/>
        <v>0</v>
      </c>
    </row>
    <row r="345" spans="1:19" ht="12.75" customHeight="1" x14ac:dyDescent="0.2">
      <c r="A345" s="34"/>
      <c r="B345" s="17">
        <v>18</v>
      </c>
      <c r="C345" s="1" t="s">
        <v>146</v>
      </c>
      <c r="D345" s="1"/>
      <c r="E345" s="31">
        <f t="shared" si="48"/>
        <v>2250760.81</v>
      </c>
      <c r="G345" s="50">
        <v>47667.99</v>
      </c>
      <c r="H345" s="49"/>
      <c r="I345" s="50">
        <v>2185984.71</v>
      </c>
      <c r="J345" s="49"/>
      <c r="K345" s="50">
        <v>17108.11</v>
      </c>
      <c r="L345" s="49"/>
      <c r="M345" s="50">
        <v>1486650.48</v>
      </c>
      <c r="N345" s="50"/>
      <c r="O345" s="50">
        <v>764140.33</v>
      </c>
      <c r="P345" s="49"/>
      <c r="Q345" s="50"/>
      <c r="R345" s="47">
        <f t="shared" si="49"/>
        <v>-29.999999999883585</v>
      </c>
      <c r="S345" s="50">
        <f t="shared" si="46"/>
        <v>-29.999999999883585</v>
      </c>
    </row>
    <row r="346" spans="1:19" ht="12.75" customHeight="1" x14ac:dyDescent="0.2">
      <c r="A346" s="34"/>
      <c r="B346" s="17">
        <v>19</v>
      </c>
      <c r="C346" s="1" t="s">
        <v>147</v>
      </c>
      <c r="D346" s="1"/>
      <c r="G346" s="50"/>
      <c r="H346" s="49"/>
      <c r="I346" s="50"/>
      <c r="J346" s="49"/>
      <c r="K346" s="50"/>
      <c r="L346" s="49"/>
      <c r="M346" s="50"/>
      <c r="N346" s="50"/>
      <c r="O346" s="50"/>
      <c r="P346" s="49"/>
      <c r="Q346" s="50"/>
      <c r="R346" s="47"/>
      <c r="S346" s="50">
        <f t="shared" si="46"/>
        <v>0</v>
      </c>
    </row>
    <row r="347" spans="1:19" ht="12.75" customHeight="1" x14ac:dyDescent="0.2">
      <c r="A347" s="34"/>
      <c r="B347" s="17">
        <v>28</v>
      </c>
      <c r="C347" s="1"/>
      <c r="D347" s="1" t="s">
        <v>241</v>
      </c>
      <c r="E347" s="31">
        <f>SUM(G347:K347)</f>
        <v>32327.15</v>
      </c>
      <c r="G347" s="50"/>
      <c r="H347" s="49"/>
      <c r="I347" s="50">
        <v>32327.15</v>
      </c>
      <c r="J347" s="49"/>
      <c r="K347" s="50"/>
      <c r="L347" s="49"/>
      <c r="M347" s="50">
        <v>23762.14</v>
      </c>
      <c r="N347" s="50"/>
      <c r="O347" s="50">
        <v>8227.01</v>
      </c>
      <c r="P347" s="49"/>
      <c r="Q347" s="50">
        <v>-8</v>
      </c>
      <c r="R347" s="47">
        <f t="shared" ref="R347:R356" si="50">E347-M347-O347-Q347</f>
        <v>346.00000000000182</v>
      </c>
      <c r="S347" s="50">
        <f t="shared" si="46"/>
        <v>330.00000000000182</v>
      </c>
    </row>
    <row r="348" spans="1:19" ht="12.75" customHeight="1" x14ac:dyDescent="0.2">
      <c r="A348" s="34"/>
      <c r="B348" s="17">
        <v>20</v>
      </c>
      <c r="C348" s="5"/>
      <c r="D348" s="5" t="s">
        <v>148</v>
      </c>
      <c r="E348" s="31">
        <f t="shared" ref="E348:E356" si="51">SUM(G348:K348)</f>
        <v>-16687.37</v>
      </c>
      <c r="G348" s="50">
        <v>388.8</v>
      </c>
      <c r="H348" s="49"/>
      <c r="I348" s="50"/>
      <c r="J348" s="49"/>
      <c r="K348" s="50">
        <v>-17076.169999999998</v>
      </c>
      <c r="L348" s="49"/>
      <c r="M348" s="50">
        <v>35210.25</v>
      </c>
      <c r="N348" s="50"/>
      <c r="O348" s="50">
        <v>-51897.62</v>
      </c>
      <c r="P348" s="49"/>
      <c r="Q348" s="50"/>
      <c r="R348" s="47">
        <f t="shared" si="50"/>
        <v>7.2759576141834259E-12</v>
      </c>
      <c r="S348" s="50">
        <f t="shared" si="46"/>
        <v>7.2759576141834259E-12</v>
      </c>
    </row>
    <row r="349" spans="1:19" ht="12.75" customHeight="1" x14ac:dyDescent="0.2">
      <c r="A349" s="34"/>
      <c r="B349" s="17">
        <v>22</v>
      </c>
      <c r="C349" s="5"/>
      <c r="D349" s="5" t="s">
        <v>149</v>
      </c>
      <c r="E349" s="31">
        <f t="shared" si="51"/>
        <v>397726.35</v>
      </c>
      <c r="G349" s="50">
        <v>277986.37</v>
      </c>
      <c r="H349" s="49"/>
      <c r="I349" s="50">
        <v>119739.98</v>
      </c>
      <c r="J349" s="49"/>
      <c r="K349" s="50"/>
      <c r="L349" s="49"/>
      <c r="M349" s="50">
        <v>264208.15999999997</v>
      </c>
      <c r="N349" s="50"/>
      <c r="O349" s="50">
        <v>133357.19</v>
      </c>
      <c r="P349" s="49"/>
      <c r="Q349" s="50">
        <v>-161</v>
      </c>
      <c r="R349" s="47">
        <f t="shared" si="50"/>
        <v>322</v>
      </c>
      <c r="S349" s="50">
        <f t="shared" si="46"/>
        <v>0</v>
      </c>
    </row>
    <row r="350" spans="1:19" ht="12.75" customHeight="1" x14ac:dyDescent="0.2">
      <c r="A350" s="34"/>
      <c r="B350" s="17">
        <v>23</v>
      </c>
      <c r="C350" s="5"/>
      <c r="D350" s="5" t="s">
        <v>150</v>
      </c>
      <c r="E350" s="31">
        <f t="shared" si="51"/>
        <v>84293.21</v>
      </c>
      <c r="G350" s="50"/>
      <c r="H350" s="49"/>
      <c r="I350" s="50">
        <f>170.38+84122.83</f>
        <v>84293.21</v>
      </c>
      <c r="J350" s="49"/>
      <c r="K350" s="50"/>
      <c r="L350" s="49"/>
      <c r="M350" s="50">
        <v>52595.9</v>
      </c>
      <c r="N350" s="50"/>
      <c r="O350" s="50">
        <f>170.38+31526.93</f>
        <v>31697.31</v>
      </c>
      <c r="P350" s="49"/>
      <c r="Q350" s="50" t="s">
        <v>19</v>
      </c>
      <c r="R350" s="47">
        <f t="shared" si="50"/>
        <v>3.637978807091713E-12</v>
      </c>
      <c r="S350" s="50">
        <f t="shared" si="46"/>
        <v>3.637978807091713E-12</v>
      </c>
    </row>
    <row r="351" spans="1:19" ht="12.75" customHeight="1" x14ac:dyDescent="0.2">
      <c r="A351" s="34"/>
      <c r="B351" s="17">
        <v>24</v>
      </c>
      <c r="C351" s="5"/>
      <c r="D351" s="5" t="s">
        <v>151</v>
      </c>
      <c r="E351" s="31">
        <f t="shared" si="51"/>
        <v>-1189.47</v>
      </c>
      <c r="G351" s="50">
        <v>-1189.47</v>
      </c>
      <c r="H351" s="49"/>
      <c r="I351" s="50"/>
      <c r="J351" s="49"/>
      <c r="K351" s="50"/>
      <c r="L351" s="49"/>
      <c r="M351" s="50"/>
      <c r="N351" s="50"/>
      <c r="O351" s="50">
        <v>-1189.47</v>
      </c>
      <c r="P351" s="49"/>
      <c r="Q351" s="50"/>
      <c r="R351" s="47">
        <f t="shared" si="50"/>
        <v>0</v>
      </c>
      <c r="S351" s="50">
        <f t="shared" si="46"/>
        <v>0</v>
      </c>
    </row>
    <row r="352" spans="1:19" ht="12.75" customHeight="1" x14ac:dyDescent="0.2">
      <c r="A352" s="34"/>
      <c r="B352" s="17">
        <v>25</v>
      </c>
      <c r="C352" s="5"/>
      <c r="D352" s="5" t="s">
        <v>152</v>
      </c>
      <c r="E352" s="31">
        <f t="shared" si="51"/>
        <v>17381224.789999999</v>
      </c>
      <c r="G352" s="50">
        <v>789455</v>
      </c>
      <c r="H352" s="49"/>
      <c r="I352" s="50">
        <v>16519044.359999999</v>
      </c>
      <c r="J352" s="49"/>
      <c r="K352" s="50">
        <v>72725.429999999993</v>
      </c>
      <c r="L352" s="49"/>
      <c r="M352" s="50">
        <v>7208069.0599999996</v>
      </c>
      <c r="N352" s="50"/>
      <c r="O352" s="50">
        <v>10209728.23</v>
      </c>
      <c r="P352" s="49"/>
      <c r="Q352" s="50">
        <v>36572.5</v>
      </c>
      <c r="R352" s="47">
        <f t="shared" si="50"/>
        <v>-73145</v>
      </c>
      <c r="S352" s="50">
        <f t="shared" si="46"/>
        <v>0</v>
      </c>
    </row>
    <row r="353" spans="1:19" ht="12.75" customHeight="1" x14ac:dyDescent="0.2">
      <c r="A353" s="34"/>
      <c r="B353" s="17">
        <v>26</v>
      </c>
      <c r="C353" s="5"/>
      <c r="D353" s="5" t="s">
        <v>153</v>
      </c>
      <c r="E353" s="31">
        <f t="shared" si="51"/>
        <v>4154088.3899999997</v>
      </c>
      <c r="G353" s="50">
        <v>3970605.32</v>
      </c>
      <c r="H353" s="49"/>
      <c r="I353" s="50">
        <v>123385.67</v>
      </c>
      <c r="J353" s="49"/>
      <c r="K353" s="50">
        <v>60097.4</v>
      </c>
      <c r="L353" s="49"/>
      <c r="M353" s="50">
        <v>2345991.02</v>
      </c>
      <c r="N353" s="50"/>
      <c r="O353" s="50">
        <v>1803695.37</v>
      </c>
      <c r="P353" s="49"/>
      <c r="Q353" s="50">
        <v>-4402</v>
      </c>
      <c r="R353" s="47">
        <f t="shared" si="50"/>
        <v>8803.9999999995343</v>
      </c>
      <c r="S353" s="50">
        <f t="shared" si="46"/>
        <v>-4.6566128730773926E-10</v>
      </c>
    </row>
    <row r="354" spans="1:19" ht="12.75" customHeight="1" x14ac:dyDescent="0.2">
      <c r="A354" s="34"/>
      <c r="B354" s="17">
        <v>27</v>
      </c>
      <c r="C354" s="5"/>
      <c r="D354" s="5" t="s">
        <v>154</v>
      </c>
      <c r="E354" s="31">
        <f t="shared" si="51"/>
        <v>686246.35</v>
      </c>
      <c r="G354" s="50">
        <v>13595.85</v>
      </c>
      <c r="H354" s="49"/>
      <c r="I354" s="50">
        <v>635230.74</v>
      </c>
      <c r="J354" s="49"/>
      <c r="K354" s="50">
        <v>37419.760000000002</v>
      </c>
      <c r="L354" s="49"/>
      <c r="M354" s="50">
        <v>451858.54</v>
      </c>
      <c r="N354" s="50"/>
      <c r="O354" s="50">
        <v>233467.81</v>
      </c>
      <c r="P354" s="49"/>
      <c r="Q354" s="50">
        <v>-920</v>
      </c>
      <c r="R354" s="47">
        <f t="shared" si="50"/>
        <v>1840</v>
      </c>
      <c r="S354" s="50">
        <f t="shared" si="46"/>
        <v>0</v>
      </c>
    </row>
    <row r="355" spans="1:19" ht="12.75" customHeight="1" x14ac:dyDescent="0.2">
      <c r="A355" s="34"/>
      <c r="B355" s="17">
        <v>29</v>
      </c>
      <c r="C355" s="1" t="s">
        <v>155</v>
      </c>
      <c r="D355" s="1"/>
      <c r="E355" s="31">
        <f t="shared" si="51"/>
        <v>74406.37</v>
      </c>
      <c r="G355" s="50">
        <v>-325</v>
      </c>
      <c r="H355" s="49"/>
      <c r="I355" s="50">
        <v>74731.37</v>
      </c>
      <c r="J355" s="49"/>
      <c r="K355" s="50"/>
      <c r="L355" s="49"/>
      <c r="M355" s="50">
        <v>18774.599999999999</v>
      </c>
      <c r="N355" s="50"/>
      <c r="O355" s="50">
        <v>54843.77</v>
      </c>
      <c r="P355" s="49"/>
      <c r="Q355" s="50">
        <v>-788</v>
      </c>
      <c r="R355" s="47">
        <f t="shared" si="50"/>
        <v>1576</v>
      </c>
      <c r="S355" s="50">
        <f t="shared" si="46"/>
        <v>0</v>
      </c>
    </row>
    <row r="356" spans="1:19" ht="12.75" customHeight="1" x14ac:dyDescent="0.2">
      <c r="A356" s="34"/>
      <c r="B356" s="17">
        <v>30</v>
      </c>
      <c r="C356" s="1" t="s">
        <v>100</v>
      </c>
      <c r="D356" s="1"/>
      <c r="E356" s="31">
        <f t="shared" si="51"/>
        <v>31453.160000000047</v>
      </c>
      <c r="G356" s="50">
        <v>-617986.37</v>
      </c>
      <c r="H356" s="49"/>
      <c r="I356" s="50">
        <v>638404.42000000004</v>
      </c>
      <c r="J356" s="49"/>
      <c r="K356" s="50">
        <v>11035.11</v>
      </c>
      <c r="L356" s="49"/>
      <c r="M356" s="50">
        <v>20923.54</v>
      </c>
      <c r="N356" s="50"/>
      <c r="O356" s="50">
        <v>10529.62</v>
      </c>
      <c r="P356" s="49"/>
      <c r="Q356" s="50"/>
      <c r="R356" s="47">
        <f t="shared" si="50"/>
        <v>4.5474735088646412E-11</v>
      </c>
      <c r="S356" s="50">
        <f t="shared" si="46"/>
        <v>4.5474735088646412E-11</v>
      </c>
    </row>
    <row r="357" spans="1:19" ht="12.75" customHeight="1" x14ac:dyDescent="0.2">
      <c r="A357" s="34"/>
      <c r="B357" s="17">
        <v>31</v>
      </c>
      <c r="C357" s="1" t="s">
        <v>101</v>
      </c>
      <c r="D357" s="1"/>
      <c r="E357" s="101">
        <f>G357+I357+K357</f>
        <v>0</v>
      </c>
      <c r="G357" s="51">
        <v>-5300770.0999999996</v>
      </c>
      <c r="H357" s="49"/>
      <c r="I357" s="51">
        <v>5300770.0999999996</v>
      </c>
      <c r="J357" s="49"/>
      <c r="K357" s="51"/>
      <c r="L357" s="49"/>
      <c r="M357" s="51"/>
      <c r="N357" s="50"/>
      <c r="O357" s="51"/>
      <c r="P357" s="49"/>
      <c r="Q357" s="51"/>
      <c r="R357" s="47">
        <f>E357-M357-O357-Q357</f>
        <v>0</v>
      </c>
      <c r="S357" s="50">
        <f t="shared" si="46"/>
        <v>0</v>
      </c>
    </row>
    <row r="358" spans="1:19" ht="12.75" customHeight="1" x14ac:dyDescent="0.2">
      <c r="A358" s="34"/>
    </row>
    <row r="359" spans="1:19" s="68" customFormat="1" ht="12.75" customHeight="1" x14ac:dyDescent="0.2">
      <c r="A359" s="67"/>
      <c r="B359" s="67"/>
      <c r="C359" s="67"/>
      <c r="D359" s="85" t="s">
        <v>156</v>
      </c>
      <c r="E359" s="6">
        <f>SUM(E329:E357)</f>
        <v>78513442.339999989</v>
      </c>
      <c r="F359" s="74"/>
      <c r="G359" s="102">
        <f>SUM(G329:G357)</f>
        <v>-305586.79000000004</v>
      </c>
      <c r="H359" s="91"/>
      <c r="I359" s="102">
        <f>SUM(I329:I357)</f>
        <v>77256407.359999999</v>
      </c>
      <c r="J359" s="91"/>
      <c r="K359" s="102">
        <f>SUM(K329:K357)</f>
        <v>1562621.77</v>
      </c>
      <c r="L359" s="91"/>
      <c r="M359" s="102">
        <f>SUM(M329:M357)</f>
        <v>40357470.640000001</v>
      </c>
      <c r="N359" s="91"/>
      <c r="O359" s="102">
        <f>SUM(O329:O357)</f>
        <v>38952518.339999996</v>
      </c>
      <c r="P359" s="91"/>
      <c r="Q359" s="102">
        <f>SUM(Q329:Q357)</f>
        <v>796546.64</v>
      </c>
      <c r="R359" s="75">
        <f>E359-M359-O359-Q359</f>
        <v>-1593093.2800000082</v>
      </c>
      <c r="S359" s="90">
        <f>E359-M359-O359+Q359</f>
        <v>-8.0326572060585022E-9</v>
      </c>
    </row>
    <row r="360" spans="1:19" ht="12.75" customHeight="1" x14ac:dyDescent="0.2">
      <c r="A360" s="1"/>
      <c r="E360" s="35"/>
      <c r="G360" s="35"/>
      <c r="I360" s="35"/>
      <c r="K360" s="35"/>
      <c r="M360" s="35"/>
      <c r="O360" s="35"/>
      <c r="Q360" s="35"/>
    </row>
    <row r="361" spans="1:19" ht="12.75" customHeight="1" x14ac:dyDescent="0.2">
      <c r="A361" s="32" t="s">
        <v>157</v>
      </c>
    </row>
    <row r="362" spans="1:19" ht="12.75" customHeight="1" x14ac:dyDescent="0.2">
      <c r="A362" s="34"/>
    </row>
    <row r="363" spans="1:19" ht="12.75" customHeight="1" x14ac:dyDescent="0.2">
      <c r="B363" s="17">
        <v>1</v>
      </c>
      <c r="C363" s="34" t="s">
        <v>158</v>
      </c>
      <c r="D363" s="34"/>
      <c r="E363" s="31">
        <f>SUM(G363:K363)</f>
        <v>2276114.71</v>
      </c>
      <c r="G363" s="50">
        <v>1782433.28</v>
      </c>
      <c r="H363" s="49"/>
      <c r="I363" s="50">
        <v>493681.43</v>
      </c>
      <c r="J363" s="49"/>
      <c r="K363" s="50"/>
      <c r="L363" s="49"/>
      <c r="M363" s="50">
        <v>1054338.52</v>
      </c>
      <c r="N363" s="50"/>
      <c r="O363" s="50">
        <v>1219923.69</v>
      </c>
      <c r="P363" s="49"/>
      <c r="Q363" s="50">
        <v>-1852.5</v>
      </c>
      <c r="R363" s="47">
        <f>E363-M363-O363-Q363</f>
        <v>3705</v>
      </c>
      <c r="S363" s="50">
        <f t="shared" ref="S363:S408" si="52">E363-M363-O363+Q363</f>
        <v>0</v>
      </c>
    </row>
    <row r="364" spans="1:19" ht="12.75" customHeight="1" x14ac:dyDescent="0.2">
      <c r="B364" s="17">
        <v>2</v>
      </c>
      <c r="C364" s="1" t="s">
        <v>217</v>
      </c>
      <c r="D364" s="1"/>
      <c r="E364" s="31">
        <f>SUM(G364:K364)</f>
        <v>1794020.54</v>
      </c>
      <c r="G364" s="50">
        <v>1788120.6</v>
      </c>
      <c r="H364" s="49"/>
      <c r="I364" s="50">
        <v>5899.94</v>
      </c>
      <c r="J364" s="49"/>
      <c r="K364" s="50"/>
      <c r="L364" s="49"/>
      <c r="M364" s="50">
        <v>1250743.31</v>
      </c>
      <c r="N364" s="50"/>
      <c r="O364" s="50">
        <v>543277.23</v>
      </c>
      <c r="P364" s="49"/>
      <c r="Q364" s="50"/>
      <c r="R364" s="47">
        <f>E364-M364-O364-Q364</f>
        <v>0</v>
      </c>
      <c r="S364" s="50">
        <f t="shared" si="52"/>
        <v>0</v>
      </c>
    </row>
    <row r="365" spans="1:19" ht="12.75" customHeight="1" x14ac:dyDescent="0.2">
      <c r="C365" s="1" t="s">
        <v>246</v>
      </c>
      <c r="D365" s="1"/>
      <c r="F365" s="17"/>
      <c r="G365" s="17"/>
      <c r="H365" s="17"/>
      <c r="I365" s="17"/>
      <c r="J365" s="17"/>
      <c r="K365" s="17"/>
      <c r="L365" s="17"/>
      <c r="P365" s="17"/>
      <c r="Q365" s="17"/>
      <c r="S365" s="50">
        <f t="shared" si="52"/>
        <v>0</v>
      </c>
    </row>
    <row r="366" spans="1:19" ht="12.75" customHeight="1" x14ac:dyDescent="0.2">
      <c r="C366" s="1"/>
      <c r="D366" s="1" t="s">
        <v>247</v>
      </c>
      <c r="E366" s="31">
        <f>SUM(G366:K366)</f>
        <v>657937.61</v>
      </c>
      <c r="G366" s="50">
        <v>592198.16</v>
      </c>
      <c r="H366" s="49"/>
      <c r="I366" s="50">
        <v>65739.45</v>
      </c>
      <c r="J366" s="49"/>
      <c r="K366" s="50"/>
      <c r="L366" s="49"/>
      <c r="M366" s="50">
        <v>405179.03</v>
      </c>
      <c r="N366" s="50"/>
      <c r="O366" s="50">
        <v>252738.58</v>
      </c>
      <c r="P366" s="49"/>
      <c r="Q366" s="50">
        <v>-20</v>
      </c>
      <c r="R366" s="47">
        <f>E366-M366-O366-Q366</f>
        <v>39.999999999970896</v>
      </c>
      <c r="S366" s="50">
        <f t="shared" si="52"/>
        <v>-2.9103830456733704E-11</v>
      </c>
    </row>
    <row r="367" spans="1:19" ht="12.75" customHeight="1" x14ac:dyDescent="0.2">
      <c r="B367" s="17">
        <v>3</v>
      </c>
      <c r="C367" s="1" t="s">
        <v>159</v>
      </c>
      <c r="D367" s="1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S367" s="50">
        <f t="shared" si="52"/>
        <v>0</v>
      </c>
    </row>
    <row r="368" spans="1:19" ht="12.75" customHeight="1" x14ac:dyDescent="0.2">
      <c r="B368" s="17">
        <v>4</v>
      </c>
      <c r="C368" s="5"/>
      <c r="D368" s="1" t="s">
        <v>141</v>
      </c>
      <c r="E368" s="31">
        <f>SUM(G368:K368)</f>
        <v>1655272.24</v>
      </c>
      <c r="G368" s="50">
        <v>1213410.42</v>
      </c>
      <c r="H368" s="49"/>
      <c r="I368" s="50">
        <v>441861.82</v>
      </c>
      <c r="J368" s="49"/>
      <c r="K368" s="50"/>
      <c r="L368" s="49"/>
      <c r="M368" s="50">
        <v>572329.04</v>
      </c>
      <c r="N368" s="50"/>
      <c r="O368" s="50">
        <v>1178073.8899999999</v>
      </c>
      <c r="P368" s="49"/>
      <c r="Q368" s="50">
        <v>95130.69</v>
      </c>
      <c r="R368" s="47">
        <f>E368-M368-O368-Q368</f>
        <v>-190261.37999999995</v>
      </c>
      <c r="S368" s="50">
        <f t="shared" si="52"/>
        <v>0</v>
      </c>
    </row>
    <row r="369" spans="2:19" ht="12.75" customHeight="1" x14ac:dyDescent="0.2">
      <c r="B369" s="17">
        <v>5</v>
      </c>
      <c r="C369" s="1" t="s">
        <v>160</v>
      </c>
      <c r="D369" s="1"/>
      <c r="P369" s="37"/>
      <c r="S369" s="50">
        <f t="shared" si="52"/>
        <v>0</v>
      </c>
    </row>
    <row r="370" spans="2:19" ht="12.75" customHeight="1" x14ac:dyDescent="0.2">
      <c r="B370" s="17">
        <v>6</v>
      </c>
      <c r="C370" s="5"/>
      <c r="D370" s="1" t="s">
        <v>161</v>
      </c>
      <c r="E370" s="31">
        <f>SUM(G370:K370)</f>
        <v>1636287.46</v>
      </c>
      <c r="G370" s="50">
        <v>1132124.27</v>
      </c>
      <c r="H370" s="49"/>
      <c r="I370" s="50">
        <v>152752.76999999999</v>
      </c>
      <c r="J370" s="49"/>
      <c r="K370" s="50">
        <v>351410.42</v>
      </c>
      <c r="L370" s="49"/>
      <c r="M370" s="50">
        <v>799941.85</v>
      </c>
      <c r="N370" s="50"/>
      <c r="O370" s="50">
        <v>833062.61</v>
      </c>
      <c r="P370" s="49"/>
      <c r="Q370" s="50">
        <v>-3283</v>
      </c>
      <c r="R370" s="47">
        <f>E370-M370-O370-Q370</f>
        <v>6566</v>
      </c>
      <c r="S370" s="50">
        <f t="shared" si="52"/>
        <v>0</v>
      </c>
    </row>
    <row r="371" spans="2:19" ht="12.75" customHeight="1" x14ac:dyDescent="0.2">
      <c r="B371" s="17">
        <v>7</v>
      </c>
      <c r="C371" s="1" t="s">
        <v>162</v>
      </c>
      <c r="D371" s="1"/>
      <c r="E371" s="31">
        <f t="shared" ref="E371:E388" si="53">SUM(G371:K371)</f>
        <v>524825.72</v>
      </c>
      <c r="G371" s="50">
        <v>523192.22</v>
      </c>
      <c r="H371" s="49"/>
      <c r="I371" s="50"/>
      <c r="J371" s="49"/>
      <c r="K371" s="50">
        <v>1633.5</v>
      </c>
      <c r="L371" s="49"/>
      <c r="M371" s="50">
        <v>358558.34</v>
      </c>
      <c r="N371" s="50"/>
      <c r="O371" s="50">
        <v>166267.38</v>
      </c>
      <c r="P371" s="49"/>
      <c r="Q371" s="50"/>
      <c r="R371" s="47">
        <f t="shared" ref="R371:R388" si="54">E371-M371-O371-Q371</f>
        <v>-5.8207660913467407E-11</v>
      </c>
      <c r="S371" s="50">
        <f t="shared" si="52"/>
        <v>-5.8207660913467407E-11</v>
      </c>
    </row>
    <row r="372" spans="2:19" ht="12.75" customHeight="1" x14ac:dyDescent="0.2">
      <c r="B372" s="17">
        <v>8</v>
      </c>
      <c r="C372" s="1" t="s">
        <v>163</v>
      </c>
      <c r="D372" s="1"/>
      <c r="E372" s="31">
        <f t="shared" si="53"/>
        <v>1267177.82</v>
      </c>
      <c r="G372" s="50">
        <v>1267177.82</v>
      </c>
      <c r="H372" s="49"/>
      <c r="I372" s="50"/>
      <c r="J372" s="49"/>
      <c r="K372" s="50"/>
      <c r="L372" s="49"/>
      <c r="M372" s="50">
        <v>932084.81</v>
      </c>
      <c r="N372" s="50"/>
      <c r="O372" s="50">
        <v>335093.01</v>
      </c>
      <c r="P372" s="49"/>
      <c r="Q372" s="50"/>
      <c r="R372" s="47">
        <f t="shared" si="54"/>
        <v>0</v>
      </c>
      <c r="S372" s="50">
        <f t="shared" si="52"/>
        <v>0</v>
      </c>
    </row>
    <row r="373" spans="2:19" ht="12.75" customHeight="1" x14ac:dyDescent="0.2">
      <c r="C373" s="1" t="s">
        <v>232</v>
      </c>
      <c r="D373" s="1"/>
      <c r="E373" s="31">
        <f t="shared" si="53"/>
        <v>5836.25</v>
      </c>
      <c r="G373" s="50">
        <v>5836.25</v>
      </c>
      <c r="H373" s="49"/>
      <c r="I373" s="50"/>
      <c r="J373" s="49"/>
      <c r="K373" s="50"/>
      <c r="L373" s="49"/>
      <c r="M373" s="50"/>
      <c r="N373" s="50"/>
      <c r="O373" s="50">
        <v>5836.25</v>
      </c>
      <c r="P373" s="49"/>
      <c r="Q373" s="50"/>
      <c r="R373" s="47">
        <f t="shared" si="54"/>
        <v>0</v>
      </c>
      <c r="S373" s="50">
        <f t="shared" si="52"/>
        <v>0</v>
      </c>
    </row>
    <row r="374" spans="2:19" ht="12.75" customHeight="1" x14ac:dyDescent="0.2">
      <c r="B374" s="17">
        <v>9</v>
      </c>
      <c r="C374" s="1" t="s">
        <v>231</v>
      </c>
      <c r="D374" s="1"/>
      <c r="E374" s="31">
        <f t="shared" si="53"/>
        <v>3622868.32</v>
      </c>
      <c r="G374" s="50">
        <v>2638779.58</v>
      </c>
      <c r="H374" s="49"/>
      <c r="I374" s="50">
        <v>972578.17</v>
      </c>
      <c r="J374" s="49"/>
      <c r="K374" s="50">
        <v>11510.57</v>
      </c>
      <c r="L374" s="49"/>
      <c r="M374" s="50">
        <v>2155629.2000000002</v>
      </c>
      <c r="N374" s="50"/>
      <c r="O374" s="50">
        <v>2108425.4700000002</v>
      </c>
      <c r="P374" s="49"/>
      <c r="Q374" s="50">
        <v>641186.35</v>
      </c>
      <c r="R374" s="47">
        <f t="shared" si="54"/>
        <v>-1282372.7000000007</v>
      </c>
      <c r="S374" s="50">
        <f t="shared" si="52"/>
        <v>0</v>
      </c>
    </row>
    <row r="375" spans="2:19" ht="12.75" customHeight="1" x14ac:dyDescent="0.2">
      <c r="B375" s="17">
        <v>10</v>
      </c>
      <c r="C375" s="1" t="s">
        <v>164</v>
      </c>
      <c r="D375" s="1"/>
      <c r="E375" s="31">
        <f t="shared" si="53"/>
        <v>3982.18</v>
      </c>
      <c r="G375" s="50">
        <v>1980.57</v>
      </c>
      <c r="H375" s="49"/>
      <c r="I375" s="50">
        <v>2001.61</v>
      </c>
      <c r="J375" s="49"/>
      <c r="K375" s="50"/>
      <c r="L375" s="49"/>
      <c r="M375" s="50"/>
      <c r="N375" s="50"/>
      <c r="O375" s="50">
        <v>3982.18</v>
      </c>
      <c r="P375" s="49"/>
      <c r="Q375" s="50"/>
      <c r="R375" s="47">
        <f t="shared" si="54"/>
        <v>0</v>
      </c>
      <c r="S375" s="50">
        <f t="shared" si="52"/>
        <v>0</v>
      </c>
    </row>
    <row r="376" spans="2:19" ht="12.75" customHeight="1" x14ac:dyDescent="0.2">
      <c r="B376" s="17">
        <v>11</v>
      </c>
      <c r="C376" s="1" t="s">
        <v>165</v>
      </c>
      <c r="D376" s="1"/>
      <c r="E376" s="31">
        <f t="shared" si="53"/>
        <v>2539355.83</v>
      </c>
      <c r="G376" s="50">
        <f>422267.38+603.75</f>
        <v>422871.13</v>
      </c>
      <c r="H376" s="49"/>
      <c r="I376" s="50">
        <f>591478.86+1523624.99</f>
        <v>2115103.85</v>
      </c>
      <c r="J376" s="49"/>
      <c r="K376" s="50">
        <v>1380.85</v>
      </c>
      <c r="L376" s="49"/>
      <c r="M376" s="50">
        <f>685158.9+336421.84</f>
        <v>1021580.74</v>
      </c>
      <c r="N376" s="50"/>
      <c r="O376" s="50">
        <f>400736.19+1184513.3</f>
        <v>1585249.49</v>
      </c>
      <c r="P376" s="49"/>
      <c r="Q376" s="50">
        <f>70768-3293.6</f>
        <v>67474.399999999994</v>
      </c>
      <c r="R376" s="47">
        <f t="shared" si="54"/>
        <v>-134948.7999999999</v>
      </c>
      <c r="S376" s="50">
        <f t="shared" si="52"/>
        <v>0</v>
      </c>
    </row>
    <row r="377" spans="2:19" ht="12.75" customHeight="1" x14ac:dyDescent="0.2">
      <c r="B377" s="17">
        <v>12</v>
      </c>
      <c r="C377" s="1" t="s">
        <v>166</v>
      </c>
      <c r="D377" s="1"/>
      <c r="E377" s="31">
        <f t="shared" si="53"/>
        <v>166552.49</v>
      </c>
      <c r="G377" s="50">
        <v>166552.49</v>
      </c>
      <c r="H377" s="49"/>
      <c r="I377" s="50"/>
      <c r="J377" s="49"/>
      <c r="K377" s="50"/>
      <c r="L377" s="49"/>
      <c r="M377" s="50"/>
      <c r="N377" s="50"/>
      <c r="O377" s="50">
        <v>166552.49</v>
      </c>
      <c r="P377" s="49"/>
      <c r="Q377" s="50"/>
      <c r="R377" s="47">
        <f t="shared" si="54"/>
        <v>0</v>
      </c>
      <c r="S377" s="50">
        <f t="shared" si="52"/>
        <v>0</v>
      </c>
    </row>
    <row r="378" spans="2:19" ht="12.75" customHeight="1" x14ac:dyDescent="0.2">
      <c r="B378" s="17">
        <v>13</v>
      </c>
      <c r="C378" s="1" t="s">
        <v>225</v>
      </c>
      <c r="D378" s="1"/>
      <c r="E378" s="31">
        <f>SUM(G378:K378)</f>
        <v>652544.15</v>
      </c>
      <c r="G378" s="50">
        <v>518503.64</v>
      </c>
      <c r="H378" s="49"/>
      <c r="I378" s="50">
        <v>134040.51</v>
      </c>
      <c r="J378" s="49"/>
      <c r="K378" s="50"/>
      <c r="L378" s="49"/>
      <c r="M378" s="50">
        <v>415658.49</v>
      </c>
      <c r="N378" s="50"/>
      <c r="O378" s="50">
        <v>236885.66</v>
      </c>
      <c r="P378" s="49"/>
      <c r="Q378" s="50"/>
      <c r="R378" s="47">
        <f t="shared" si="54"/>
        <v>2.9103830456733704E-11</v>
      </c>
      <c r="S378" s="50">
        <f t="shared" si="52"/>
        <v>2.9103830456733704E-11</v>
      </c>
    </row>
    <row r="379" spans="2:19" ht="12.75" customHeight="1" x14ac:dyDescent="0.2">
      <c r="B379" s="17">
        <v>15</v>
      </c>
      <c r="C379" s="1" t="s">
        <v>167</v>
      </c>
      <c r="D379" s="1"/>
      <c r="E379" s="31">
        <f t="shared" si="53"/>
        <v>566641.96000000008</v>
      </c>
      <c r="G379" s="50">
        <v>358961.52</v>
      </c>
      <c r="H379" s="49"/>
      <c r="I379" s="50">
        <v>206805.64</v>
      </c>
      <c r="J379" s="49"/>
      <c r="K379" s="50">
        <v>874.8</v>
      </c>
      <c r="L379" s="49"/>
      <c r="M379" s="50">
        <v>358993.15</v>
      </c>
      <c r="N379" s="50"/>
      <c r="O379" s="50">
        <v>361106.41</v>
      </c>
      <c r="P379" s="49"/>
      <c r="Q379" s="50">
        <v>153457.60000000001</v>
      </c>
      <c r="R379" s="47">
        <f t="shared" si="54"/>
        <v>-306915.19999999995</v>
      </c>
      <c r="S379" s="50">
        <f t="shared" si="52"/>
        <v>0</v>
      </c>
    </row>
    <row r="380" spans="2:19" ht="12.75" customHeight="1" x14ac:dyDescent="0.2">
      <c r="B380" s="17">
        <v>16</v>
      </c>
      <c r="C380" s="1" t="s">
        <v>168</v>
      </c>
      <c r="D380" s="1"/>
      <c r="E380" s="31">
        <f t="shared" si="53"/>
        <v>2656226.6300000004</v>
      </c>
      <c r="G380" s="50">
        <v>2653225.7400000002</v>
      </c>
      <c r="H380" s="49"/>
      <c r="I380" s="50">
        <v>3000.89</v>
      </c>
      <c r="J380" s="49"/>
      <c r="K380" s="50"/>
      <c r="L380" s="49"/>
      <c r="M380" s="50">
        <v>1799286.25</v>
      </c>
      <c r="N380" s="50"/>
      <c r="O380" s="50">
        <v>856940.38</v>
      </c>
      <c r="P380" s="49"/>
      <c r="Q380" s="50"/>
      <c r="R380" s="47">
        <f t="shared" si="54"/>
        <v>3.4924596548080444E-10</v>
      </c>
      <c r="S380" s="50">
        <f t="shared" si="52"/>
        <v>3.4924596548080444E-10</v>
      </c>
    </row>
    <row r="381" spans="2:19" ht="12.75" customHeight="1" x14ac:dyDescent="0.2">
      <c r="B381" s="17">
        <v>17</v>
      </c>
      <c r="C381" s="1" t="s">
        <v>213</v>
      </c>
      <c r="D381" s="1"/>
      <c r="E381" s="31">
        <f t="shared" si="53"/>
        <v>-707343.14999999991</v>
      </c>
      <c r="G381" s="50">
        <v>420884.05</v>
      </c>
      <c r="H381" s="49"/>
      <c r="I381" s="50">
        <v>-1128227.2</v>
      </c>
      <c r="J381" s="49"/>
      <c r="K381" s="50"/>
      <c r="L381" s="49"/>
      <c r="M381" s="50">
        <v>212708.17</v>
      </c>
      <c r="N381" s="50"/>
      <c r="O381" s="50">
        <v>323511.36</v>
      </c>
      <c r="P381" s="49"/>
      <c r="Q381" s="50">
        <v>1243562.68</v>
      </c>
      <c r="R381" s="47">
        <f t="shared" si="54"/>
        <v>-2487125.36</v>
      </c>
      <c r="S381" s="50">
        <f t="shared" si="52"/>
        <v>0</v>
      </c>
    </row>
    <row r="382" spans="2:19" ht="12.75" customHeight="1" x14ac:dyDescent="0.2">
      <c r="B382" s="17">
        <v>18</v>
      </c>
      <c r="C382" s="1" t="s">
        <v>274</v>
      </c>
      <c r="D382" s="1"/>
      <c r="E382" s="31">
        <f>SUM(G382:K382)</f>
        <v>-8130827.25</v>
      </c>
      <c r="G382" s="50"/>
      <c r="H382" s="49"/>
      <c r="I382" s="50">
        <v>-8130827.25</v>
      </c>
      <c r="J382" s="49"/>
      <c r="K382" s="50"/>
      <c r="L382" s="49"/>
      <c r="M382" s="50"/>
      <c r="N382" s="50"/>
      <c r="O382" s="50">
        <v>-1348363.08</v>
      </c>
      <c r="P382" s="49"/>
      <c r="Q382" s="50">
        <v>6782464.1699999999</v>
      </c>
      <c r="R382" s="47">
        <f>E382-M382-O382-Q382</f>
        <v>-13564928.34</v>
      </c>
      <c r="S382" s="50">
        <f t="shared" si="52"/>
        <v>0</v>
      </c>
    </row>
    <row r="383" spans="2:19" ht="12.75" customHeight="1" x14ac:dyDescent="0.2">
      <c r="B383" s="17">
        <v>18</v>
      </c>
      <c r="C383" s="1" t="s">
        <v>214</v>
      </c>
      <c r="D383" s="1"/>
      <c r="E383" s="31">
        <f t="shared" si="53"/>
        <v>196338.18000000002</v>
      </c>
      <c r="G383" s="50">
        <v>189960.51</v>
      </c>
      <c r="H383" s="49"/>
      <c r="I383" s="50">
        <v>6377.67</v>
      </c>
      <c r="J383" s="49"/>
      <c r="K383" s="50"/>
      <c r="L383" s="49"/>
      <c r="M383" s="50">
        <v>177060.04</v>
      </c>
      <c r="N383" s="50"/>
      <c r="O383" s="50">
        <v>120520.46</v>
      </c>
      <c r="P383" s="49"/>
      <c r="Q383" s="50">
        <v>101242.32</v>
      </c>
      <c r="R383" s="47">
        <f t="shared" si="54"/>
        <v>-202484.64</v>
      </c>
      <c r="S383" s="50">
        <f t="shared" si="52"/>
        <v>0</v>
      </c>
    </row>
    <row r="384" spans="2:19" ht="12.75" customHeight="1" x14ac:dyDescent="0.2">
      <c r="B384" s="17">
        <v>19</v>
      </c>
      <c r="C384" s="1" t="s">
        <v>172</v>
      </c>
      <c r="D384" s="1"/>
      <c r="E384" s="31">
        <f t="shared" si="53"/>
        <v>99662.080000000002</v>
      </c>
      <c r="G384" s="50">
        <v>53299.57</v>
      </c>
      <c r="H384" s="49"/>
      <c r="I384" s="50">
        <v>46362.51</v>
      </c>
      <c r="J384" s="49"/>
      <c r="K384" s="50"/>
      <c r="L384" s="49"/>
      <c r="M384" s="50">
        <v>66499.45</v>
      </c>
      <c r="N384" s="50"/>
      <c r="O384" s="50">
        <v>33162.629999999997</v>
      </c>
      <c r="P384" s="49"/>
      <c r="Q384" s="50"/>
      <c r="R384" s="47">
        <f t="shared" si="54"/>
        <v>7.2759576141834259E-12</v>
      </c>
      <c r="S384" s="50">
        <f t="shared" si="52"/>
        <v>7.2759576141834259E-12</v>
      </c>
    </row>
    <row r="385" spans="2:19" ht="12.75" customHeight="1" x14ac:dyDescent="0.2">
      <c r="B385" s="17">
        <v>20</v>
      </c>
      <c r="C385" s="1" t="s">
        <v>210</v>
      </c>
      <c r="D385" s="1"/>
      <c r="E385" s="31">
        <f t="shared" si="53"/>
        <v>324826.28000000003</v>
      </c>
      <c r="G385" s="50">
        <v>324826.28000000003</v>
      </c>
      <c r="H385" s="49"/>
      <c r="I385" s="50"/>
      <c r="J385" s="49"/>
      <c r="K385" s="50"/>
      <c r="L385" s="49"/>
      <c r="M385" s="50">
        <v>182606.96</v>
      </c>
      <c r="N385" s="50"/>
      <c r="O385" s="50">
        <v>142259.32</v>
      </c>
      <c r="P385" s="49"/>
      <c r="Q385" s="50">
        <v>40</v>
      </c>
      <c r="R385" s="47">
        <f t="shared" si="54"/>
        <v>-79.999999999970896</v>
      </c>
      <c r="S385" s="50">
        <f t="shared" si="52"/>
        <v>2.9103830456733704E-11</v>
      </c>
    </row>
    <row r="386" spans="2:19" ht="12.75" customHeight="1" x14ac:dyDescent="0.2">
      <c r="B386" s="17">
        <v>21</v>
      </c>
      <c r="C386" s="1" t="s">
        <v>173</v>
      </c>
      <c r="D386" s="1"/>
      <c r="E386" s="31">
        <f t="shared" si="53"/>
        <v>7380236.7000000002</v>
      </c>
      <c r="G386" s="50">
        <v>94426.2</v>
      </c>
      <c r="H386" s="49"/>
      <c r="I386" s="50">
        <v>7149605</v>
      </c>
      <c r="J386" s="49"/>
      <c r="K386" s="50">
        <v>136205.5</v>
      </c>
      <c r="L386" s="49"/>
      <c r="M386" s="50">
        <v>4259103.38</v>
      </c>
      <c r="N386" s="50"/>
      <c r="O386" s="50">
        <v>3070815.75</v>
      </c>
      <c r="P386" s="49"/>
      <c r="Q386" s="50">
        <v>-50317.57</v>
      </c>
      <c r="R386" s="47">
        <f t="shared" si="54"/>
        <v>100635.14000000031</v>
      </c>
      <c r="S386" s="50">
        <f t="shared" si="52"/>
        <v>2.9831426218152046E-10</v>
      </c>
    </row>
    <row r="387" spans="2:19" ht="12.75" customHeight="1" x14ac:dyDescent="0.2">
      <c r="B387" s="17">
        <v>22</v>
      </c>
      <c r="C387" s="1" t="s">
        <v>174</v>
      </c>
      <c r="D387" s="1"/>
      <c r="E387" s="31">
        <f t="shared" si="53"/>
        <v>2351011.02</v>
      </c>
      <c r="G387" s="50">
        <v>617065.91</v>
      </c>
      <c r="H387" s="49"/>
      <c r="I387" s="50">
        <v>1728207.88</v>
      </c>
      <c r="J387" s="49"/>
      <c r="K387" s="50">
        <v>5737.23</v>
      </c>
      <c r="L387" s="49"/>
      <c r="M387" s="50">
        <v>1592326.02</v>
      </c>
      <c r="N387" s="50"/>
      <c r="O387" s="50">
        <v>980479.48</v>
      </c>
      <c r="P387" s="49"/>
      <c r="Q387" s="50">
        <v>221794.48</v>
      </c>
      <c r="R387" s="47">
        <f t="shared" si="54"/>
        <v>-443588.95999999996</v>
      </c>
      <c r="S387" s="50">
        <f t="shared" si="52"/>
        <v>0</v>
      </c>
    </row>
    <row r="388" spans="2:19" ht="12.75" customHeight="1" x14ac:dyDescent="0.2">
      <c r="B388" s="17">
        <v>23</v>
      </c>
      <c r="C388" s="1" t="s">
        <v>175</v>
      </c>
      <c r="D388" s="1"/>
      <c r="E388" s="31">
        <f t="shared" si="53"/>
        <v>2537145.8800000004</v>
      </c>
      <c r="G388" s="50">
        <v>1617796.56</v>
      </c>
      <c r="H388" s="49"/>
      <c r="I388" s="50">
        <v>914888.83</v>
      </c>
      <c r="J388" s="49"/>
      <c r="K388" s="50">
        <v>4460.49</v>
      </c>
      <c r="L388" s="49"/>
      <c r="M388" s="50">
        <v>1904179.92</v>
      </c>
      <c r="N388" s="50"/>
      <c r="O388" s="50">
        <v>1252799.98</v>
      </c>
      <c r="P388" s="49"/>
      <c r="Q388" s="50">
        <v>619834.02</v>
      </c>
      <c r="R388" s="47">
        <f t="shared" si="54"/>
        <v>-1239668.0399999996</v>
      </c>
      <c r="S388" s="50">
        <f t="shared" si="52"/>
        <v>0</v>
      </c>
    </row>
    <row r="389" spans="2:19" ht="12.75" customHeight="1" x14ac:dyDescent="0.2">
      <c r="B389" s="17">
        <v>24</v>
      </c>
      <c r="C389" s="1" t="s">
        <v>176</v>
      </c>
      <c r="D389" s="1"/>
      <c r="E389" s="70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S389" s="50">
        <f t="shared" si="52"/>
        <v>0</v>
      </c>
    </row>
    <row r="390" spans="2:19" ht="12.75" customHeight="1" x14ac:dyDescent="0.2">
      <c r="B390" s="17">
        <v>26</v>
      </c>
      <c r="C390" s="5"/>
      <c r="D390" s="1" t="s">
        <v>178</v>
      </c>
      <c r="E390" s="31">
        <f t="shared" ref="E390:E407" si="55">SUM(G390:K390)</f>
        <v>2179906.11</v>
      </c>
      <c r="G390" s="50">
        <v>2704226.32</v>
      </c>
      <c r="H390" s="49"/>
      <c r="I390" s="50">
        <v>-524320.21</v>
      </c>
      <c r="J390" s="49"/>
      <c r="K390" s="50"/>
      <c r="L390" s="49"/>
      <c r="M390" s="50">
        <v>1738953.39</v>
      </c>
      <c r="N390" s="50"/>
      <c r="O390" s="50">
        <v>1665406.72</v>
      </c>
      <c r="P390" s="49"/>
      <c r="Q390" s="50">
        <v>1224454</v>
      </c>
      <c r="R390" s="47">
        <f t="shared" ref="R390:R407" si="56">E390-M390-O390-Q390</f>
        <v>-2448908</v>
      </c>
      <c r="S390" s="50">
        <f t="shared" si="52"/>
        <v>0</v>
      </c>
    </row>
    <row r="391" spans="2:19" ht="12.75" customHeight="1" x14ac:dyDescent="0.2">
      <c r="B391" s="17">
        <v>27</v>
      </c>
      <c r="C391" s="1"/>
      <c r="D391" s="1" t="s">
        <v>179</v>
      </c>
      <c r="E391" s="31">
        <f t="shared" si="55"/>
        <v>1548295.98</v>
      </c>
      <c r="G391" s="50">
        <v>1056285.58</v>
      </c>
      <c r="H391" s="49"/>
      <c r="I391" s="50">
        <v>492010.4</v>
      </c>
      <c r="J391" s="49"/>
      <c r="K391" s="50"/>
      <c r="L391" s="49"/>
      <c r="M391" s="50">
        <v>1246021.4099999999</v>
      </c>
      <c r="N391" s="50"/>
      <c r="O391" s="50">
        <v>1380744.41</v>
      </c>
      <c r="P391" s="49"/>
      <c r="Q391" s="50">
        <v>1078469.8400000001</v>
      </c>
      <c r="R391" s="47">
        <f t="shared" si="56"/>
        <v>-2156939.6799999997</v>
      </c>
      <c r="S391" s="50">
        <f t="shared" si="52"/>
        <v>0</v>
      </c>
    </row>
    <row r="392" spans="2:19" ht="12.75" customHeight="1" x14ac:dyDescent="0.2">
      <c r="B392" s="17">
        <v>28</v>
      </c>
      <c r="C392" s="1" t="s">
        <v>184</v>
      </c>
      <c r="D392" s="1"/>
      <c r="E392" s="31">
        <f t="shared" si="55"/>
        <v>1931417.77</v>
      </c>
      <c r="G392" s="50">
        <v>1404241.88</v>
      </c>
      <c r="H392" s="49"/>
      <c r="I392" s="50">
        <v>527175.89</v>
      </c>
      <c r="J392" s="49"/>
      <c r="K392" s="50"/>
      <c r="L392" s="49"/>
      <c r="M392" s="50"/>
      <c r="N392" s="50"/>
      <c r="O392" s="50">
        <v>1931417.77</v>
      </c>
      <c r="P392" s="49"/>
      <c r="Q392" s="50"/>
      <c r="R392" s="47">
        <f t="shared" si="56"/>
        <v>0</v>
      </c>
      <c r="S392" s="50">
        <f t="shared" si="52"/>
        <v>0</v>
      </c>
    </row>
    <row r="393" spans="2:19" ht="12.75" customHeight="1" x14ac:dyDescent="0.2">
      <c r="B393" s="17">
        <v>28</v>
      </c>
      <c r="C393" s="53" t="s">
        <v>280</v>
      </c>
      <c r="D393" s="1"/>
      <c r="E393" s="31">
        <f t="shared" ref="E393" si="57">SUM(G393:K393)</f>
        <v>139919.13</v>
      </c>
      <c r="G393" s="50">
        <v>98400.85</v>
      </c>
      <c r="H393" s="49"/>
      <c r="I393" s="50">
        <v>41518.28</v>
      </c>
      <c r="J393" s="49"/>
      <c r="K393" s="50"/>
      <c r="L393" s="49"/>
      <c r="M393" s="50">
        <v>89005.08</v>
      </c>
      <c r="N393" s="50"/>
      <c r="O393" s="50">
        <v>50914.05</v>
      </c>
      <c r="P393" s="49"/>
      <c r="Q393" s="50"/>
      <c r="R393" s="47">
        <f t="shared" ref="R393" si="58">E393-M393-O393-Q393</f>
        <v>0</v>
      </c>
      <c r="S393" s="50">
        <f t="shared" ref="S393" si="59">E393-M393-O393+Q393</f>
        <v>0</v>
      </c>
    </row>
    <row r="394" spans="2:19" ht="12.75" customHeight="1" x14ac:dyDescent="0.2">
      <c r="B394" s="17">
        <v>30</v>
      </c>
      <c r="C394" s="1" t="s">
        <v>169</v>
      </c>
      <c r="D394" s="1"/>
      <c r="E394" s="31">
        <f t="shared" ref="E394" si="60">SUM(G394:K394)</f>
        <v>381500.61</v>
      </c>
      <c r="G394" s="50">
        <v>405565.79</v>
      </c>
      <c r="H394" s="49"/>
      <c r="I394" s="50">
        <v>-35962.449999999997</v>
      </c>
      <c r="J394" s="49"/>
      <c r="K394" s="50">
        <v>11897.27</v>
      </c>
      <c r="L394" s="49"/>
      <c r="M394" s="50">
        <v>370056.98</v>
      </c>
      <c r="N394" s="50"/>
      <c r="O394" s="50">
        <v>403534.01</v>
      </c>
      <c r="P394" s="49"/>
      <c r="Q394" s="50">
        <v>392090.38</v>
      </c>
      <c r="R394" s="47">
        <f t="shared" ref="R394" si="61">E394-M394-O394-Q394</f>
        <v>-784180.76</v>
      </c>
      <c r="S394" s="50">
        <f t="shared" ref="S394" si="62">E394-M394-O394+Q394</f>
        <v>0</v>
      </c>
    </row>
    <row r="395" spans="2:19" ht="12.75" customHeight="1" x14ac:dyDescent="0.2">
      <c r="B395" s="17">
        <v>31</v>
      </c>
      <c r="C395" s="1" t="s">
        <v>212</v>
      </c>
      <c r="D395" s="1"/>
      <c r="E395" s="31">
        <f t="shared" si="55"/>
        <v>902737.38</v>
      </c>
      <c r="G395" s="50">
        <v>1101948.52</v>
      </c>
      <c r="H395" s="49"/>
      <c r="I395" s="50">
        <v>-199211.14</v>
      </c>
      <c r="J395" s="49"/>
      <c r="K395" s="50"/>
      <c r="L395" s="49"/>
      <c r="M395" s="50">
        <v>840944.66</v>
      </c>
      <c r="N395" s="50"/>
      <c r="O395" s="50">
        <v>811700.73</v>
      </c>
      <c r="P395" s="49"/>
      <c r="Q395" s="50">
        <v>749908.01</v>
      </c>
      <c r="R395" s="47">
        <f t="shared" si="56"/>
        <v>-1499816.02</v>
      </c>
      <c r="S395" s="50">
        <f t="shared" si="52"/>
        <v>0</v>
      </c>
    </row>
    <row r="396" spans="2:19" ht="12.75" customHeight="1" x14ac:dyDescent="0.2">
      <c r="B396" s="17">
        <v>25</v>
      </c>
      <c r="C396" s="5"/>
      <c r="D396" s="1" t="s">
        <v>177</v>
      </c>
      <c r="E396" s="31">
        <f>SUM(G396:K396)</f>
        <v>1131740.3799999999</v>
      </c>
      <c r="G396" s="50"/>
      <c r="H396" s="49"/>
      <c r="I396" s="50">
        <v>1131740.3799999999</v>
      </c>
      <c r="J396" s="49"/>
      <c r="K396" s="50"/>
      <c r="L396" s="49"/>
      <c r="M396" s="50">
        <v>1422059.07</v>
      </c>
      <c r="N396" s="50"/>
      <c r="O396" s="50">
        <v>1826614.43</v>
      </c>
      <c r="P396" s="49"/>
      <c r="Q396" s="50">
        <v>2116933.12</v>
      </c>
      <c r="R396" s="47">
        <f t="shared" si="56"/>
        <v>-4233866.24</v>
      </c>
      <c r="S396" s="50">
        <f t="shared" si="52"/>
        <v>0</v>
      </c>
    </row>
    <row r="397" spans="2:19" ht="12.75" customHeight="1" x14ac:dyDescent="0.2">
      <c r="B397" s="17">
        <v>25</v>
      </c>
      <c r="C397" s="5"/>
      <c r="D397" s="1" t="s">
        <v>273</v>
      </c>
      <c r="E397" s="31">
        <f>SUM(G397:K397)</f>
        <v>725685.35000000009</v>
      </c>
      <c r="G397" s="50">
        <v>732911.55</v>
      </c>
      <c r="H397" s="49"/>
      <c r="I397" s="50">
        <v>-7226.2</v>
      </c>
      <c r="J397" s="49"/>
      <c r="K397" s="50"/>
      <c r="L397" s="49"/>
      <c r="M397" s="50">
        <v>501084.97</v>
      </c>
      <c r="N397" s="50"/>
      <c r="O397" s="50">
        <v>235292.38</v>
      </c>
      <c r="P397" s="49"/>
      <c r="Q397" s="50">
        <v>10692</v>
      </c>
      <c r="R397" s="47">
        <f>E397-M397-O397-Q397</f>
        <v>-21383.999999999884</v>
      </c>
      <c r="S397" s="50">
        <f t="shared" si="52"/>
        <v>1.1641532182693481E-10</v>
      </c>
    </row>
    <row r="398" spans="2:19" ht="12.75" customHeight="1" x14ac:dyDescent="0.2">
      <c r="B398" s="17">
        <v>32</v>
      </c>
      <c r="C398" s="1" t="s">
        <v>180</v>
      </c>
      <c r="D398" s="1"/>
      <c r="E398" s="31">
        <f t="shared" si="55"/>
        <v>1032526.63</v>
      </c>
      <c r="G398" s="50">
        <v>100379.77</v>
      </c>
      <c r="H398" s="49"/>
      <c r="I398" s="50">
        <v>932146.86</v>
      </c>
      <c r="J398" s="49"/>
      <c r="K398" s="50"/>
      <c r="L398" s="49"/>
      <c r="M398" s="50">
        <v>673705.38</v>
      </c>
      <c r="N398" s="50"/>
      <c r="O398" s="50">
        <v>358731.25</v>
      </c>
      <c r="P398" s="49"/>
      <c r="Q398" s="50">
        <v>-90</v>
      </c>
      <c r="R398" s="47">
        <f t="shared" si="56"/>
        <v>180</v>
      </c>
      <c r="S398" s="50">
        <f t="shared" si="52"/>
        <v>0</v>
      </c>
    </row>
    <row r="399" spans="2:19" ht="12.75" customHeight="1" x14ac:dyDescent="0.2">
      <c r="B399" s="17">
        <v>33</v>
      </c>
      <c r="C399" s="1" t="s">
        <v>181</v>
      </c>
      <c r="D399" s="1"/>
      <c r="E399" s="31">
        <f t="shared" si="55"/>
        <v>5252517.1399999997</v>
      </c>
      <c r="G399" s="50">
        <v>5038928.41</v>
      </c>
      <c r="H399" s="49"/>
      <c r="I399" s="50">
        <v>204454.01</v>
      </c>
      <c r="J399" s="49"/>
      <c r="K399" s="50">
        <v>9134.7199999999993</v>
      </c>
      <c r="L399" s="49"/>
      <c r="M399" s="50">
        <v>4593927.97</v>
      </c>
      <c r="N399" s="50"/>
      <c r="O399" s="50">
        <v>2715045.61</v>
      </c>
      <c r="P399" s="49"/>
      <c r="Q399" s="50">
        <v>2056456.44</v>
      </c>
      <c r="R399" s="47">
        <f t="shared" si="56"/>
        <v>-4112912.88</v>
      </c>
      <c r="S399" s="50">
        <f t="shared" si="52"/>
        <v>0</v>
      </c>
    </row>
    <row r="400" spans="2:19" ht="12.75" customHeight="1" x14ac:dyDescent="0.2">
      <c r="B400" s="17">
        <v>33</v>
      </c>
      <c r="C400" s="53" t="s">
        <v>279</v>
      </c>
      <c r="D400" s="1"/>
      <c r="E400" s="31">
        <f t="shared" ref="E400" si="63">SUM(G400:K400)</f>
        <v>5052450.09</v>
      </c>
      <c r="G400" s="50"/>
      <c r="H400" s="49"/>
      <c r="I400" s="50">
        <v>5052450.09</v>
      </c>
      <c r="J400" s="49"/>
      <c r="K400" s="50"/>
      <c r="L400" s="49"/>
      <c r="M400" s="50">
        <v>1666350</v>
      </c>
      <c r="N400" s="50"/>
      <c r="O400" s="50">
        <v>3383793.84</v>
      </c>
      <c r="P400" s="49"/>
      <c r="Q400" s="50">
        <f>-2306.25</f>
        <v>-2306.25</v>
      </c>
      <c r="R400" s="47">
        <f t="shared" ref="R400" si="64">E400-M400-O400-Q400</f>
        <v>4612.5</v>
      </c>
      <c r="S400" s="50">
        <f t="shared" ref="S400" si="65">E400-M400-O400+Q400</f>
        <v>0</v>
      </c>
    </row>
    <row r="401" spans="1:19" ht="12.75" customHeight="1" x14ac:dyDescent="0.2">
      <c r="B401" s="17">
        <v>34</v>
      </c>
      <c r="C401" s="1" t="s">
        <v>182</v>
      </c>
      <c r="D401" s="1"/>
      <c r="E401" s="31">
        <f t="shared" si="55"/>
        <v>581366.80000000005</v>
      </c>
      <c r="G401" s="50">
        <v>581582.99</v>
      </c>
      <c r="H401" s="49"/>
      <c r="I401" s="50">
        <v>-216.19</v>
      </c>
      <c r="J401" s="49"/>
      <c r="K401" s="50"/>
      <c r="L401" s="49"/>
      <c r="M401" s="50">
        <v>410778.15</v>
      </c>
      <c r="N401" s="50"/>
      <c r="O401" s="50">
        <v>170588.65</v>
      </c>
      <c r="P401" s="49"/>
      <c r="Q401" s="50"/>
      <c r="R401" s="47">
        <f t="shared" si="56"/>
        <v>2.9103830456733704E-11</v>
      </c>
      <c r="S401" s="50">
        <f t="shared" si="52"/>
        <v>2.9103830456733704E-11</v>
      </c>
    </row>
    <row r="402" spans="1:19" ht="12.75" customHeight="1" x14ac:dyDescent="0.2">
      <c r="B402" s="17">
        <v>35</v>
      </c>
      <c r="C402" s="1" t="s">
        <v>183</v>
      </c>
      <c r="D402" s="1"/>
      <c r="E402" s="31">
        <f t="shared" si="55"/>
        <v>1036886.51</v>
      </c>
      <c r="G402" s="50">
        <v>328225.78000000003</v>
      </c>
      <c r="H402" s="49"/>
      <c r="I402" s="50">
        <v>708660.73</v>
      </c>
      <c r="J402" s="49"/>
      <c r="K402" s="50"/>
      <c r="L402" s="49"/>
      <c r="M402" s="50">
        <v>466750.92</v>
      </c>
      <c r="N402" s="50"/>
      <c r="O402" s="50">
        <v>678165.59</v>
      </c>
      <c r="P402" s="49"/>
      <c r="Q402" s="50">
        <v>108030</v>
      </c>
      <c r="R402" s="47">
        <f t="shared" si="56"/>
        <v>-216059.99999999988</v>
      </c>
      <c r="S402" s="50">
        <f t="shared" si="52"/>
        <v>1.1641532182693481E-10</v>
      </c>
    </row>
    <row r="403" spans="1:19" ht="12.75" customHeight="1" x14ac:dyDescent="0.2">
      <c r="C403" s="1" t="s">
        <v>236</v>
      </c>
      <c r="D403" s="1"/>
      <c r="E403" s="31">
        <f t="shared" si="55"/>
        <v>0</v>
      </c>
      <c r="G403" s="50"/>
      <c r="H403" s="49"/>
      <c r="I403" s="50"/>
      <c r="J403" s="49"/>
      <c r="K403" s="50"/>
      <c r="L403" s="49"/>
      <c r="M403" s="50"/>
      <c r="N403" s="50"/>
      <c r="O403" s="50"/>
      <c r="P403" s="49"/>
      <c r="Q403" s="50"/>
      <c r="R403" s="47">
        <f t="shared" si="56"/>
        <v>0</v>
      </c>
      <c r="S403" s="50">
        <f t="shared" si="52"/>
        <v>0</v>
      </c>
    </row>
    <row r="404" spans="1:19" ht="12.75" customHeight="1" x14ac:dyDescent="0.2">
      <c r="B404" s="17">
        <v>36</v>
      </c>
      <c r="C404" s="1" t="s">
        <v>170</v>
      </c>
      <c r="D404" s="1"/>
      <c r="E404" s="31">
        <f t="shared" si="55"/>
        <v>199419.48</v>
      </c>
      <c r="G404" s="50">
        <v>106935.57</v>
      </c>
      <c r="H404" s="49"/>
      <c r="I404" s="50">
        <v>86536.19</v>
      </c>
      <c r="J404" s="49"/>
      <c r="K404" s="50">
        <v>5947.72</v>
      </c>
      <c r="L404" s="49"/>
      <c r="M404" s="50">
        <v>416217.48</v>
      </c>
      <c r="N404" s="50"/>
      <c r="O404" s="50">
        <v>355795.57</v>
      </c>
      <c r="P404" s="49"/>
      <c r="Q404" s="50">
        <v>572593.56999999995</v>
      </c>
      <c r="R404" s="47">
        <f t="shared" si="56"/>
        <v>-1145187.1399999999</v>
      </c>
      <c r="S404" s="50">
        <f t="shared" si="52"/>
        <v>0</v>
      </c>
    </row>
    <row r="405" spans="1:19" ht="12.75" customHeight="1" x14ac:dyDescent="0.2">
      <c r="B405" s="17">
        <v>37</v>
      </c>
      <c r="C405" s="1" t="s">
        <v>171</v>
      </c>
      <c r="D405" s="1"/>
      <c r="E405" s="31">
        <f t="shared" si="55"/>
        <v>182139.55000000002</v>
      </c>
      <c r="G405" s="50">
        <v>272306.7</v>
      </c>
      <c r="H405" s="49"/>
      <c r="I405" s="50">
        <v>-90167.15</v>
      </c>
      <c r="J405" s="49"/>
      <c r="K405" s="50"/>
      <c r="L405" s="49"/>
      <c r="M405" s="50">
        <v>493789.04</v>
      </c>
      <c r="N405" s="50"/>
      <c r="O405" s="50">
        <v>2129582.31</v>
      </c>
      <c r="P405" s="49"/>
      <c r="Q405" s="50">
        <v>2441231.7999999998</v>
      </c>
      <c r="R405" s="47">
        <f t="shared" si="56"/>
        <v>-4882463.5999999996</v>
      </c>
      <c r="S405" s="50">
        <f t="shared" si="52"/>
        <v>0</v>
      </c>
    </row>
    <row r="406" spans="1:19" ht="12.75" customHeight="1" x14ac:dyDescent="0.2">
      <c r="B406" s="17">
        <v>38</v>
      </c>
      <c r="C406" s="1" t="s">
        <v>185</v>
      </c>
      <c r="D406" s="1"/>
      <c r="E406" s="31">
        <f t="shared" si="55"/>
        <v>150519.26</v>
      </c>
      <c r="G406" s="50">
        <v>78376.600000000006</v>
      </c>
      <c r="H406" s="49"/>
      <c r="I406" s="50">
        <v>72142.66</v>
      </c>
      <c r="J406" s="49"/>
      <c r="K406" s="50"/>
      <c r="L406" s="49"/>
      <c r="M406" s="50"/>
      <c r="N406" s="50"/>
      <c r="O406" s="50">
        <v>150519.26</v>
      </c>
      <c r="P406" s="49"/>
      <c r="Q406" s="50"/>
      <c r="R406" s="47">
        <f t="shared" si="56"/>
        <v>0</v>
      </c>
      <c r="S406" s="50">
        <f t="shared" si="52"/>
        <v>0</v>
      </c>
    </row>
    <row r="407" spans="1:19" ht="12.75" customHeight="1" x14ac:dyDescent="0.2">
      <c r="B407" s="17">
        <v>39</v>
      </c>
      <c r="C407" s="1" t="s">
        <v>100</v>
      </c>
      <c r="D407" s="1"/>
      <c r="E407" s="31">
        <f t="shared" si="55"/>
        <v>77301.37</v>
      </c>
      <c r="G407" s="50">
        <v>-113548.31</v>
      </c>
      <c r="H407" s="49"/>
      <c r="I407" s="50">
        <v>190849.68</v>
      </c>
      <c r="J407" s="49"/>
      <c r="K407" s="50"/>
      <c r="L407" s="49"/>
      <c r="M407" s="50">
        <v>62037.58</v>
      </c>
      <c r="N407" s="50"/>
      <c r="O407" s="50">
        <v>15263.79</v>
      </c>
      <c r="P407" s="49"/>
      <c r="Q407" s="50"/>
      <c r="R407" s="47">
        <f t="shared" si="56"/>
        <v>-7.2759576141834259E-12</v>
      </c>
      <c r="S407" s="50">
        <f t="shared" si="52"/>
        <v>-7.2759576141834259E-12</v>
      </c>
    </row>
    <row r="408" spans="1:19" ht="12.75" customHeight="1" x14ac:dyDescent="0.2">
      <c r="B408" s="17">
        <v>40</v>
      </c>
      <c r="C408" s="1" t="s">
        <v>101</v>
      </c>
      <c r="D408" s="1"/>
      <c r="E408" s="101">
        <f>G408+I408+K408</f>
        <v>0</v>
      </c>
      <c r="G408" s="51">
        <v>-14319995.279999999</v>
      </c>
      <c r="H408" s="49"/>
      <c r="I408" s="51">
        <v>14319995.279999999</v>
      </c>
      <c r="J408" s="49"/>
      <c r="K408" s="51"/>
      <c r="L408" s="49"/>
      <c r="M408" s="51"/>
      <c r="N408" s="50"/>
      <c r="O408" s="51"/>
      <c r="P408" s="49"/>
      <c r="Q408" s="51"/>
      <c r="R408" s="47">
        <f>E408-M408-O408-Q408</f>
        <v>0</v>
      </c>
      <c r="S408" s="50">
        <f t="shared" si="52"/>
        <v>0</v>
      </c>
    </row>
    <row r="409" spans="1:19" ht="12.75" customHeight="1" x14ac:dyDescent="0.2">
      <c r="A409" s="34"/>
      <c r="S409" s="70"/>
    </row>
    <row r="410" spans="1:19" s="68" customFormat="1" ht="12.75" customHeight="1" x14ac:dyDescent="0.2">
      <c r="A410" s="67"/>
      <c r="B410" s="67"/>
      <c r="C410" s="67"/>
      <c r="D410" s="85" t="s">
        <v>186</v>
      </c>
      <c r="E410" s="6">
        <f>SUM(E363:E408)</f>
        <v>46583023.189999983</v>
      </c>
      <c r="F410" s="74"/>
      <c r="G410" s="102">
        <f>SUM(G363:G408)</f>
        <v>17960399.490000002</v>
      </c>
      <c r="H410" s="91"/>
      <c r="I410" s="102">
        <f>SUM(I363:I408)</f>
        <v>28082430.629999999</v>
      </c>
      <c r="J410" s="91"/>
      <c r="K410" s="102">
        <f>SUM(K363:K408)</f>
        <v>540193.06999999983</v>
      </c>
      <c r="L410" s="91"/>
      <c r="M410" s="102">
        <f>SUM(M363:M408)</f>
        <v>34510488.749999993</v>
      </c>
      <c r="N410" s="91"/>
      <c r="O410" s="102">
        <f>SUM(O363:O408)</f>
        <v>32691710.990000002</v>
      </c>
      <c r="P410" s="91"/>
      <c r="Q410" s="102">
        <f>SUM(Q363:Q408)</f>
        <v>20619176.550000004</v>
      </c>
      <c r="R410" s="75">
        <f>E410-G410-I410-K410</f>
        <v>-1.8160790205001831E-8</v>
      </c>
      <c r="S410" s="76">
        <f>E410-M410-O410+Q410</f>
        <v>0</v>
      </c>
    </row>
    <row r="411" spans="1:19" ht="12.75" customHeight="1" x14ac:dyDescent="0.2">
      <c r="A411" s="38"/>
      <c r="E411" s="70"/>
    </row>
    <row r="412" spans="1:19" ht="12.75" customHeight="1" x14ac:dyDescent="0.2">
      <c r="E412" s="10"/>
      <c r="G412" s="10"/>
      <c r="I412" s="10"/>
      <c r="K412" s="10"/>
      <c r="L412" s="7"/>
      <c r="M412" s="10"/>
      <c r="O412" s="10"/>
      <c r="Q412" s="10"/>
    </row>
    <row r="413" spans="1:19" ht="12.75" customHeight="1" x14ac:dyDescent="0.2">
      <c r="A413" s="32" t="s">
        <v>286</v>
      </c>
      <c r="E413" s="69">
        <f t="shared" ref="E413" si="66">SUM(G413:K413)</f>
        <v>0</v>
      </c>
      <c r="G413" s="31">
        <v>6092622.04</v>
      </c>
      <c r="H413" s="49"/>
      <c r="I413" s="31">
        <v>-9814214.1999999993</v>
      </c>
      <c r="J413" s="49"/>
      <c r="K413" s="31">
        <v>3721592.16</v>
      </c>
      <c r="L413" s="7"/>
      <c r="M413" s="31" t="s">
        <v>19</v>
      </c>
      <c r="N413" s="50" t="s">
        <v>19</v>
      </c>
      <c r="O413" s="31" t="s">
        <v>19</v>
      </c>
      <c r="P413" s="49"/>
      <c r="Q413" s="31" t="s">
        <v>19</v>
      </c>
      <c r="R413" s="47">
        <f t="shared" ref="R413" si="67">E413-M413-O413-Q413</f>
        <v>0</v>
      </c>
      <c r="S413" s="50">
        <f t="shared" ref="S413" si="68">E413-M413-O413+Q413</f>
        <v>0</v>
      </c>
    </row>
    <row r="414" spans="1:19" ht="12.75" customHeight="1" x14ac:dyDescent="0.2">
      <c r="A414" s="34"/>
      <c r="E414" s="10"/>
      <c r="G414" s="10"/>
      <c r="I414" s="10"/>
      <c r="K414" s="10"/>
      <c r="L414" s="7"/>
      <c r="M414" s="10"/>
      <c r="O414" s="10"/>
      <c r="Q414" s="10"/>
    </row>
    <row r="415" spans="1:19" ht="12.75" customHeight="1" x14ac:dyDescent="0.2">
      <c r="A415" s="32"/>
    </row>
    <row r="416" spans="1:19" ht="12.75" customHeight="1" x14ac:dyDescent="0.2">
      <c r="A416" s="32" t="s">
        <v>200</v>
      </c>
    </row>
    <row r="417" spans="1:19" ht="12.75" customHeight="1" x14ac:dyDescent="0.2">
      <c r="A417" s="32"/>
    </row>
    <row r="418" spans="1:19" ht="12.75" customHeight="1" x14ac:dyDescent="0.2">
      <c r="A418" s="34"/>
      <c r="B418" s="1" t="s">
        <v>201</v>
      </c>
    </row>
    <row r="419" spans="1:19" ht="12.75" customHeight="1" x14ac:dyDescent="0.2">
      <c r="B419" s="17">
        <v>40</v>
      </c>
      <c r="C419" s="53" t="s">
        <v>284</v>
      </c>
      <c r="D419" s="1"/>
      <c r="E419" s="31">
        <f t="shared" ref="E419" si="69">SUM(G419:K419)</f>
        <v>63154105.840000004</v>
      </c>
      <c r="F419" s="95"/>
      <c r="G419" s="50">
        <v>34484.81</v>
      </c>
      <c r="H419" s="49"/>
      <c r="I419" s="50">
        <v>63013402.710000001</v>
      </c>
      <c r="J419" s="49"/>
      <c r="K419" s="50">
        <v>106218.32</v>
      </c>
      <c r="L419" s="49"/>
      <c r="M419" s="50">
        <v>25775018.460000001</v>
      </c>
      <c r="N419" s="50"/>
      <c r="O419" s="50">
        <v>37339408.530000001</v>
      </c>
      <c r="P419" s="49"/>
      <c r="Q419" s="50">
        <v>-39678.85</v>
      </c>
      <c r="R419" s="47">
        <f t="shared" ref="R419" si="70">E419-M419-O419-Q419</f>
        <v>79357.700000001496</v>
      </c>
      <c r="S419" s="50">
        <f t="shared" ref="S419" si="71">E419-M419-O419+Q419</f>
        <v>1.4915713109076023E-9</v>
      </c>
    </row>
    <row r="420" spans="1:19" ht="12.75" customHeight="1" x14ac:dyDescent="0.2">
      <c r="B420" s="17">
        <v>40</v>
      </c>
      <c r="C420" s="53" t="s">
        <v>285</v>
      </c>
      <c r="D420" s="1"/>
      <c r="E420" s="31">
        <f t="shared" ref="E420" si="72">SUM(G420:K420)</f>
        <v>690915.79</v>
      </c>
      <c r="F420" s="95"/>
      <c r="G420" s="50" t="s">
        <v>19</v>
      </c>
      <c r="H420" s="49"/>
      <c r="I420" s="50">
        <v>690915.79</v>
      </c>
      <c r="J420" s="49"/>
      <c r="K420" s="50" t="s">
        <v>19</v>
      </c>
      <c r="L420" s="49"/>
      <c r="M420" s="50">
        <v>168132.13</v>
      </c>
      <c r="N420" s="50"/>
      <c r="O420" s="50">
        <v>522783.66</v>
      </c>
      <c r="P420" s="49"/>
      <c r="Q420" s="50" t="s">
        <v>19</v>
      </c>
      <c r="R420" s="47">
        <f t="shared" ref="R420" si="73">E420-M420-O420-Q420</f>
        <v>5.8207660913467407E-11</v>
      </c>
      <c r="S420" s="50">
        <f t="shared" ref="S420" si="74">E420-M420-O420+Q420</f>
        <v>5.8207660913467407E-11</v>
      </c>
    </row>
    <row r="421" spans="1:19" ht="12.75" customHeight="1" x14ac:dyDescent="0.2">
      <c r="A421" s="5"/>
      <c r="B421" s="34"/>
      <c r="F421" s="95"/>
      <c r="G421" s="31" t="s">
        <v>19</v>
      </c>
    </row>
    <row r="422" spans="1:19" ht="12.75" customHeight="1" x14ac:dyDescent="0.2">
      <c r="A422" s="5"/>
      <c r="B422" s="5"/>
      <c r="C422" s="5"/>
      <c r="D422" s="1" t="s">
        <v>2</v>
      </c>
      <c r="E422" s="6">
        <f>SUM(E419:E421)</f>
        <v>63845021.630000003</v>
      </c>
      <c r="F422" s="95"/>
      <c r="G422" s="6">
        <f>SUM(G419:G421)</f>
        <v>34484.81</v>
      </c>
      <c r="I422" s="6">
        <f>SUM(I419:I421)</f>
        <v>63704318.5</v>
      </c>
      <c r="J422" s="7"/>
      <c r="K422" s="6">
        <f>SUM(K419:K421)</f>
        <v>106218.32</v>
      </c>
      <c r="M422" s="6">
        <f>SUM(M419:M421)</f>
        <v>25943150.59</v>
      </c>
      <c r="O422" s="6">
        <f>SUM(O419:O421)</f>
        <v>37862192.189999998</v>
      </c>
      <c r="P422" s="7"/>
      <c r="Q422" s="6">
        <f>SUM(Q419:Q421)</f>
        <v>-39678.85</v>
      </c>
      <c r="R422" s="47">
        <f>E422-G422-I422-K422</f>
        <v>2.9103830456733704E-10</v>
      </c>
      <c r="S422" s="50">
        <f>E422-M422-O422+Q422</f>
        <v>8.9421519078314304E-9</v>
      </c>
    </row>
    <row r="423" spans="1:19" ht="12.75" customHeight="1" x14ac:dyDescent="0.2">
      <c r="A423" s="34"/>
      <c r="F423" s="95"/>
    </row>
    <row r="424" spans="1:19" ht="12.75" customHeight="1" x14ac:dyDescent="0.2">
      <c r="A424" s="5"/>
      <c r="B424" s="1" t="s">
        <v>202</v>
      </c>
      <c r="C424" s="5"/>
      <c r="D424" s="5"/>
      <c r="F424" s="95"/>
      <c r="I424" s="37"/>
      <c r="J424" s="37"/>
      <c r="K424" s="37"/>
      <c r="L424" s="37"/>
      <c r="M424" s="37"/>
      <c r="N424" s="37"/>
      <c r="O424" s="37"/>
    </row>
    <row r="425" spans="1:19" ht="12.75" customHeight="1" x14ac:dyDescent="0.2">
      <c r="A425" s="5"/>
      <c r="C425" s="1" t="s">
        <v>203</v>
      </c>
      <c r="D425" s="1"/>
      <c r="E425" s="31">
        <f t="shared" ref="E425:E433" si="75">SUM(G425:K425)</f>
        <v>-136075.32</v>
      </c>
      <c r="F425" s="95"/>
      <c r="G425" s="50">
        <v>7145</v>
      </c>
      <c r="H425" s="49"/>
      <c r="I425" s="50">
        <v>-143220.32</v>
      </c>
      <c r="J425" s="49"/>
      <c r="K425" s="50"/>
      <c r="L425" s="49"/>
      <c r="M425" s="50">
        <v>174746.33</v>
      </c>
      <c r="N425" s="50"/>
      <c r="O425" s="50">
        <v>108643.14</v>
      </c>
      <c r="P425" s="49"/>
      <c r="Q425" s="50">
        <v>419464.79</v>
      </c>
      <c r="R425" s="47">
        <f t="shared" ref="R425:R433" si="76">E425-M425-O425-Q425</f>
        <v>-838929.58000000007</v>
      </c>
      <c r="S425" s="50">
        <f t="shared" ref="S425:S434" si="77">E425-M425-O425+Q425</f>
        <v>0</v>
      </c>
    </row>
    <row r="426" spans="1:19" ht="12.75" customHeight="1" x14ac:dyDescent="0.2">
      <c r="A426" s="5"/>
      <c r="C426" s="1" t="s">
        <v>204</v>
      </c>
      <c r="D426" s="1"/>
      <c r="E426" s="31">
        <f t="shared" si="75"/>
        <v>3224210.43</v>
      </c>
      <c r="F426" s="95"/>
      <c r="G426" s="50">
        <v>3223.95</v>
      </c>
      <c r="H426" s="49"/>
      <c r="I426" s="50">
        <v>3103086.73</v>
      </c>
      <c r="J426" s="49"/>
      <c r="K426" s="50">
        <v>117899.75</v>
      </c>
      <c r="L426" s="49"/>
      <c r="M426" s="50">
        <v>1969676.72</v>
      </c>
      <c r="N426" s="50"/>
      <c r="O426" s="50">
        <v>1252853.71</v>
      </c>
      <c r="P426" s="49"/>
      <c r="Q426" s="50">
        <v>-1680</v>
      </c>
      <c r="R426" s="47">
        <f t="shared" si="76"/>
        <v>3360.0000000002328</v>
      </c>
      <c r="S426" s="50">
        <f t="shared" si="77"/>
        <v>2.3283064365386963E-10</v>
      </c>
    </row>
    <row r="427" spans="1:19" ht="12.75" customHeight="1" x14ac:dyDescent="0.2">
      <c r="A427" s="5"/>
      <c r="C427" s="1" t="s">
        <v>205</v>
      </c>
      <c r="D427" s="1"/>
      <c r="E427" s="31">
        <f t="shared" si="75"/>
        <v>2959.99</v>
      </c>
      <c r="F427" s="95"/>
      <c r="G427" s="50"/>
      <c r="H427" s="49"/>
      <c r="I427" s="50">
        <v>2959.99</v>
      </c>
      <c r="J427" s="49"/>
      <c r="K427" s="50"/>
      <c r="L427" s="49"/>
      <c r="M427" s="50"/>
      <c r="N427" s="50"/>
      <c r="O427" s="50">
        <v>2959.99</v>
      </c>
      <c r="P427" s="49"/>
      <c r="Q427" s="50"/>
      <c r="R427" s="47">
        <f t="shared" si="76"/>
        <v>0</v>
      </c>
      <c r="S427" s="50">
        <f t="shared" si="77"/>
        <v>0</v>
      </c>
    </row>
    <row r="428" spans="1:19" ht="12.75" customHeight="1" x14ac:dyDescent="0.2">
      <c r="A428" s="5"/>
      <c r="C428" s="1" t="s">
        <v>239</v>
      </c>
      <c r="D428" s="1"/>
      <c r="E428" s="31">
        <f t="shared" si="75"/>
        <v>98581.01</v>
      </c>
      <c r="F428" s="95"/>
      <c r="G428" s="50"/>
      <c r="H428" s="49"/>
      <c r="I428" s="50">
        <v>98581.01</v>
      </c>
      <c r="J428" s="49"/>
      <c r="K428" s="50"/>
      <c r="L428" s="49"/>
      <c r="M428" s="50">
        <v>20852</v>
      </c>
      <c r="N428" s="50"/>
      <c r="O428" s="50">
        <v>77729.009999999995</v>
      </c>
      <c r="P428" s="49"/>
      <c r="Q428" s="50"/>
      <c r="R428" s="47">
        <f t="shared" si="76"/>
        <v>0</v>
      </c>
      <c r="S428" s="50">
        <f t="shared" si="77"/>
        <v>0</v>
      </c>
    </row>
    <row r="429" spans="1:19" ht="12.75" customHeight="1" x14ac:dyDescent="0.2">
      <c r="A429" s="5"/>
      <c r="C429" s="1" t="s">
        <v>238</v>
      </c>
      <c r="D429" s="1"/>
      <c r="E429" s="31">
        <f t="shared" si="75"/>
        <v>227432.81</v>
      </c>
      <c r="F429" s="95"/>
      <c r="G429" s="50"/>
      <c r="H429" s="49"/>
      <c r="I429" s="50">
        <v>227432.81</v>
      </c>
      <c r="J429" s="49"/>
      <c r="K429" s="50"/>
      <c r="L429" s="49"/>
      <c r="M429" s="50"/>
      <c r="N429" s="50"/>
      <c r="O429" s="50">
        <v>241569.81</v>
      </c>
      <c r="P429" s="49"/>
      <c r="Q429" s="50">
        <v>14137</v>
      </c>
      <c r="R429" s="47">
        <f t="shared" si="76"/>
        <v>-28274</v>
      </c>
      <c r="S429" s="50">
        <f t="shared" si="77"/>
        <v>0</v>
      </c>
    </row>
    <row r="430" spans="1:19" ht="12.75" customHeight="1" x14ac:dyDescent="0.2">
      <c r="A430" s="5"/>
      <c r="C430" s="1" t="s">
        <v>206</v>
      </c>
      <c r="D430" s="1"/>
      <c r="E430" s="31">
        <f t="shared" si="75"/>
        <v>2769812.62</v>
      </c>
      <c r="F430" s="95"/>
      <c r="G430" s="50">
        <v>8915.68</v>
      </c>
      <c r="H430" s="49"/>
      <c r="I430" s="50">
        <v>2751605.54</v>
      </c>
      <c r="J430" s="49"/>
      <c r="K430" s="50">
        <v>9291.4</v>
      </c>
      <c r="L430" s="49"/>
      <c r="M430" s="50">
        <v>1439549.02</v>
      </c>
      <c r="N430" s="50"/>
      <c r="O430" s="50">
        <v>2209082.14</v>
      </c>
      <c r="P430" s="49"/>
      <c r="Q430" s="50">
        <v>878818.54</v>
      </c>
      <c r="R430" s="47">
        <f t="shared" si="76"/>
        <v>-1757637.08</v>
      </c>
      <c r="S430" s="50">
        <f t="shared" si="77"/>
        <v>0</v>
      </c>
    </row>
    <row r="431" spans="1:19" ht="12.75" customHeight="1" x14ac:dyDescent="0.2">
      <c r="A431" s="5"/>
      <c r="C431" s="1" t="s">
        <v>233</v>
      </c>
      <c r="D431" s="1"/>
      <c r="E431" s="31">
        <f t="shared" si="75"/>
        <v>-36797.699999999997</v>
      </c>
      <c r="F431" s="95"/>
      <c r="G431" s="50"/>
      <c r="H431" s="49"/>
      <c r="I431" s="50">
        <v>-36797.699999999997</v>
      </c>
      <c r="J431" s="49"/>
      <c r="K431" s="50"/>
      <c r="L431" s="49"/>
      <c r="M431" s="50">
        <v>54817</v>
      </c>
      <c r="N431" s="50"/>
      <c r="O431" s="50">
        <v>421715.4</v>
      </c>
      <c r="P431" s="49"/>
      <c r="Q431" s="50">
        <v>513330.1</v>
      </c>
      <c r="R431" s="47">
        <f t="shared" si="76"/>
        <v>-1026660.2</v>
      </c>
      <c r="S431" s="50">
        <f t="shared" si="77"/>
        <v>0</v>
      </c>
    </row>
    <row r="432" spans="1:19" ht="12.75" customHeight="1" x14ac:dyDescent="0.2">
      <c r="A432" s="5"/>
      <c r="C432" s="1" t="s">
        <v>207</v>
      </c>
      <c r="D432" s="1"/>
      <c r="E432" s="31">
        <f t="shared" si="75"/>
        <v>21321513.579999998</v>
      </c>
      <c r="F432" s="95"/>
      <c r="G432" s="50"/>
      <c r="H432" s="49"/>
      <c r="I432" s="50">
        <v>21321513.579999998</v>
      </c>
      <c r="J432" s="49"/>
      <c r="K432" s="50"/>
      <c r="L432" s="49"/>
      <c r="M432" s="50">
        <v>6694402.04</v>
      </c>
      <c r="N432" s="50"/>
      <c r="O432" s="50">
        <v>14643459.539999999</v>
      </c>
      <c r="P432" s="49"/>
      <c r="Q432" s="50">
        <v>16348</v>
      </c>
      <c r="R432" s="47">
        <f t="shared" si="76"/>
        <v>-32696</v>
      </c>
      <c r="S432" s="50">
        <f t="shared" si="77"/>
        <v>0</v>
      </c>
    </row>
    <row r="433" spans="1:19" s="111" customFormat="1" ht="12.75" customHeight="1" x14ac:dyDescent="0.2">
      <c r="A433" s="110"/>
      <c r="C433" s="53" t="s">
        <v>237</v>
      </c>
      <c r="D433" s="53"/>
      <c r="E433" s="112">
        <f t="shared" ref="E433" si="78">SUM(G433:K433)</f>
        <v>406345.14999999997</v>
      </c>
      <c r="F433" s="113"/>
      <c r="G433" s="50"/>
      <c r="H433" s="49"/>
      <c r="I433" s="50">
        <f>903192.45-499847.3+3000</f>
        <v>406345.14999999997</v>
      </c>
      <c r="J433" s="49"/>
      <c r="K433" s="50"/>
      <c r="L433" s="49"/>
      <c r="M433" s="50">
        <v>198329.02</v>
      </c>
      <c r="N433" s="50"/>
      <c r="O433" s="50">
        <f>704863.43-499847.3+3000</f>
        <v>208016.13000000006</v>
      </c>
      <c r="P433" s="49"/>
      <c r="Q433" s="50"/>
      <c r="R433" s="47">
        <f t="shared" si="76"/>
        <v>-8.7311491370201111E-11</v>
      </c>
      <c r="S433" s="50">
        <f t="shared" si="77"/>
        <v>-8.7311491370201111E-11</v>
      </c>
    </row>
    <row r="434" spans="1:19" ht="12.75" customHeight="1" x14ac:dyDescent="0.2">
      <c r="A434" s="5"/>
      <c r="C434" s="1" t="s">
        <v>100</v>
      </c>
      <c r="D434" s="1"/>
      <c r="E434" s="101">
        <f>G434+I434+K434</f>
        <v>217650.87</v>
      </c>
      <c r="F434" s="95"/>
      <c r="G434" s="51">
        <v>-12045.56</v>
      </c>
      <c r="H434" s="49"/>
      <c r="I434" s="51">
        <v>229751.46</v>
      </c>
      <c r="J434" s="49"/>
      <c r="K434" s="51">
        <v>-55.03</v>
      </c>
      <c r="L434" s="49"/>
      <c r="M434" s="51">
        <v>200107.64</v>
      </c>
      <c r="N434" s="50"/>
      <c r="O434" s="51">
        <v>17543.23</v>
      </c>
      <c r="P434" s="49"/>
      <c r="Q434" s="51"/>
      <c r="R434" s="47">
        <f>E434-M434-O434-Q434</f>
        <v>-1.8189894035458565E-11</v>
      </c>
      <c r="S434" s="50">
        <f t="shared" si="77"/>
        <v>-1.8189894035458565E-11</v>
      </c>
    </row>
    <row r="435" spans="1:19" ht="12.75" customHeight="1" x14ac:dyDescent="0.2">
      <c r="A435" s="34"/>
      <c r="F435" s="95"/>
      <c r="G435" s="31" t="s">
        <v>19</v>
      </c>
    </row>
    <row r="436" spans="1:19" ht="12.75" customHeight="1" x14ac:dyDescent="0.2">
      <c r="A436" s="5"/>
      <c r="B436" s="5"/>
      <c r="C436" s="5"/>
      <c r="D436" s="1" t="s">
        <v>2</v>
      </c>
      <c r="E436" s="6">
        <f>G436+I436+K436</f>
        <v>28095633.439999998</v>
      </c>
      <c r="F436" s="95"/>
      <c r="G436" s="6">
        <f>SUM(G425:G434)</f>
        <v>7239.0700000000015</v>
      </c>
      <c r="H436" s="6"/>
      <c r="I436" s="6">
        <f>SUM(I425:I434)</f>
        <v>27961258.249999996</v>
      </c>
      <c r="K436" s="6">
        <f>SUM(K425:K434)</f>
        <v>127136.12</v>
      </c>
      <c r="M436" s="6">
        <f>SUM(M425:M434)</f>
        <v>10752479.77</v>
      </c>
      <c r="O436" s="6">
        <f>SUM(O425:O434)</f>
        <v>19183572.099999998</v>
      </c>
      <c r="Q436" s="6">
        <f>SUM(Q425:Q434)</f>
        <v>1840418.4300000002</v>
      </c>
      <c r="R436" s="47">
        <f>E436-G436-I436-K436</f>
        <v>1.0477378964424133E-9</v>
      </c>
      <c r="S436" s="50">
        <f>E436-M436-O436+Q436</f>
        <v>0</v>
      </c>
    </row>
    <row r="437" spans="1:19" ht="12.75" customHeight="1" x14ac:dyDescent="0.2">
      <c r="A437" s="5"/>
      <c r="B437" s="5"/>
      <c r="C437" s="5"/>
      <c r="D437" s="1"/>
      <c r="E437" s="35"/>
      <c r="G437" s="35"/>
      <c r="H437" s="35"/>
      <c r="I437" s="35"/>
      <c r="K437" s="35"/>
      <c r="M437" s="35"/>
      <c r="O437" s="35"/>
      <c r="Q437" s="35"/>
      <c r="R437" s="47"/>
    </row>
    <row r="438" spans="1:19" s="91" customFormat="1" ht="12.75" customHeight="1" x14ac:dyDescent="0.2">
      <c r="A438" s="97"/>
      <c r="B438" s="97"/>
      <c r="C438" s="97"/>
      <c r="D438" s="1" t="s">
        <v>208</v>
      </c>
      <c r="E438" s="98">
        <f>E422+E436</f>
        <v>91940655.069999993</v>
      </c>
      <c r="F438" s="99"/>
      <c r="G438" s="98">
        <f>G422+G436+G450</f>
        <v>6347152.8799999999</v>
      </c>
      <c r="H438" s="90"/>
      <c r="I438" s="98">
        <f>I422+I436+I450</f>
        <v>96596568.670000002</v>
      </c>
      <c r="J438" s="90"/>
      <c r="K438" s="98">
        <f>K422+K436+K450</f>
        <v>234933.52</v>
      </c>
      <c r="L438" s="90"/>
      <c r="M438" s="98">
        <f>M422+M436+M450</f>
        <v>36695630.359999999</v>
      </c>
      <c r="N438" s="90"/>
      <c r="O438" s="98">
        <f>O422+O436+O450</f>
        <v>57045764.289999992</v>
      </c>
      <c r="P438" s="90"/>
      <c r="Q438" s="98">
        <f>Q422+Q436+Q450</f>
        <v>13038739.58</v>
      </c>
      <c r="R438" s="100">
        <f>E438-M438-O438-Q438</f>
        <v>-14839479.159999998</v>
      </c>
      <c r="S438" s="90">
        <f>E438-M438-O438+Q438</f>
        <v>11238000.000000002</v>
      </c>
    </row>
    <row r="439" spans="1:19" ht="12.75" customHeight="1" x14ac:dyDescent="0.2">
      <c r="A439" s="5"/>
      <c r="B439" s="5"/>
      <c r="C439" s="34"/>
      <c r="D439" s="34"/>
      <c r="E439" s="70"/>
    </row>
    <row r="440" spans="1:19" ht="12.75" customHeight="1" x14ac:dyDescent="0.2">
      <c r="A440" s="32" t="s">
        <v>199</v>
      </c>
      <c r="E440" s="6">
        <f>G440+I440+K440</f>
        <v>83237537.11999999</v>
      </c>
      <c r="G440" s="51">
        <v>5490418.0300000003</v>
      </c>
      <c r="H440" s="49"/>
      <c r="I440" s="51">
        <v>29951348.61999999</v>
      </c>
      <c r="J440" s="49"/>
      <c r="K440" s="51">
        <v>47795770.469999999</v>
      </c>
      <c r="L440" s="49"/>
      <c r="M440" s="51">
        <v>0</v>
      </c>
      <c r="N440" s="50"/>
      <c r="O440" s="51">
        <v>83237507.120000005</v>
      </c>
      <c r="P440" s="49"/>
      <c r="Q440" s="51">
        <v>0</v>
      </c>
      <c r="R440" s="47">
        <f>E440-M440-O440-Q440</f>
        <v>29.999999985098839</v>
      </c>
      <c r="S440" s="50">
        <f>E440-M440-O440+Q440</f>
        <v>29.999999985098839</v>
      </c>
    </row>
    <row r="441" spans="1:19" ht="12.75" customHeight="1" x14ac:dyDescent="0.2">
      <c r="A441" s="32"/>
      <c r="E441" s="35"/>
      <c r="G441" s="39"/>
      <c r="H441" s="37"/>
      <c r="I441" s="39"/>
      <c r="J441" s="37"/>
      <c r="K441" s="39"/>
      <c r="L441" s="37"/>
      <c r="M441" s="39"/>
      <c r="N441" s="37"/>
      <c r="O441" s="39"/>
      <c r="P441" s="37"/>
      <c r="Q441" s="39"/>
    </row>
    <row r="442" spans="1:19" ht="12.75" customHeight="1" x14ac:dyDescent="0.2">
      <c r="A442" s="32"/>
      <c r="C442" s="1" t="s">
        <v>223</v>
      </c>
      <c r="D442" s="1"/>
      <c r="E442" s="52">
        <f>G442+I442+K442</f>
        <v>-71275834</v>
      </c>
      <c r="G442" s="51">
        <v>0</v>
      </c>
      <c r="H442" s="49"/>
      <c r="I442" s="51">
        <v>-71275834</v>
      </c>
      <c r="J442" s="49"/>
      <c r="K442" s="51" t="s">
        <v>19</v>
      </c>
      <c r="L442" s="49"/>
      <c r="M442" s="51">
        <v>0</v>
      </c>
      <c r="N442" s="50"/>
      <c r="O442" s="51">
        <v>-71275834</v>
      </c>
      <c r="P442" s="49"/>
      <c r="Q442" s="51">
        <v>0</v>
      </c>
      <c r="R442" s="47">
        <f>E442-M442-O442-Q442</f>
        <v>0</v>
      </c>
      <c r="S442" s="50">
        <f>E442-M442-O442+Q442</f>
        <v>0</v>
      </c>
    </row>
    <row r="443" spans="1:19" ht="12.75" customHeight="1" x14ac:dyDescent="0.2">
      <c r="A443" s="32"/>
      <c r="E443" s="35"/>
      <c r="G443" s="39"/>
      <c r="H443" s="37"/>
      <c r="I443" s="39"/>
      <c r="J443" s="37"/>
      <c r="K443" s="39"/>
      <c r="L443" s="37"/>
      <c r="M443" s="39"/>
      <c r="N443" s="37"/>
      <c r="O443" s="39"/>
      <c r="P443" s="37"/>
      <c r="Q443" s="39"/>
    </row>
    <row r="444" spans="1:19" ht="12.75" customHeight="1" x14ac:dyDescent="0.2">
      <c r="A444" s="32"/>
      <c r="D444" s="1" t="s">
        <v>222</v>
      </c>
      <c r="E444" s="52">
        <f>G444+I444+K444</f>
        <v>83237537.11999999</v>
      </c>
      <c r="G444" s="6">
        <v>5490418.0300000003</v>
      </c>
      <c r="I444" s="6">
        <v>29951348.61999999</v>
      </c>
      <c r="K444" s="6">
        <v>47795770.469999999</v>
      </c>
      <c r="M444" s="6">
        <v>0</v>
      </c>
      <c r="O444" s="6">
        <v>83237507.120000005</v>
      </c>
      <c r="Q444" s="6">
        <v>-30</v>
      </c>
      <c r="R444" s="47">
        <f>E444-G444-I444-K444</f>
        <v>0</v>
      </c>
      <c r="S444" s="50">
        <f>E444-M444-O444+Q444</f>
        <v>-1.4901161193847656E-8</v>
      </c>
    </row>
    <row r="445" spans="1:19" ht="12.75" customHeight="1" x14ac:dyDescent="0.2">
      <c r="A445" s="38"/>
    </row>
    <row r="446" spans="1:19" ht="12.75" customHeight="1" x14ac:dyDescent="0.2">
      <c r="A446" s="5"/>
      <c r="B446" s="5"/>
      <c r="C446" s="5"/>
      <c r="D446" s="1" t="s">
        <v>244</v>
      </c>
      <c r="E446" s="6">
        <f>E444+E438+E413+E410+E359+E325+E306+E298+E288+E210+E202+E198+E195+E183+E180+E66+E30+E14</f>
        <v>825202905.56999981</v>
      </c>
      <c r="G446" s="6">
        <f>G444+G438+G413+G410+G359+G325+G306+G298+G288+G210+G202+G198+G195+G183+G180+G66+G30+G14</f>
        <v>232123434.90000001</v>
      </c>
      <c r="H446" s="8"/>
      <c r="I446" s="6">
        <f>I444+I438+I413+I410+I359+I325+I306+I298+I288+I210+I202+I198+I195+I183+I180+I66+I30+I14</f>
        <v>393253671.90000004</v>
      </c>
      <c r="J446" s="7"/>
      <c r="K446" s="6">
        <f>K444+K438+K413+K410+K359+K325+K306+K298+K288+K210+K202+K198+K195+K183+K180+K66+K30+K14</f>
        <v>211063798.77000001</v>
      </c>
      <c r="L446" s="8"/>
      <c r="M446" s="6">
        <f>M444+M438+M413+M410+M359+M325+M306+M298+M288+M210+M202+M198+M195+M183+M180+M66+M30+M14</f>
        <v>412770705.23000002</v>
      </c>
      <c r="N446" s="95"/>
      <c r="O446" s="6">
        <f>O444+O438+O413+O410+O359+O325+O306+O298+O288+O210+O202+O198+O195+O183+O180+O66+O30+O14</f>
        <v>479207257.20000005</v>
      </c>
      <c r="P446" s="8"/>
      <c r="Q446" s="6">
        <f>Q444+Q438+Q413+Q410+Q359+Q325+Q306+Q298+Q288+Q210+Q202+Q198+Q195+Q183+Q180+Q66+Q30+Q14</f>
        <v>78013056.859999999</v>
      </c>
      <c r="R446" s="47">
        <f>E446-G446-I446-K446</f>
        <v>-11238000.000000209</v>
      </c>
      <c r="S446" s="50">
        <f>E446-M446-O446+Q446</f>
        <v>11237999.999999747</v>
      </c>
    </row>
    <row r="447" spans="1:19" ht="12.75" customHeight="1" x14ac:dyDescent="0.2">
      <c r="A447" s="34"/>
    </row>
    <row r="448" spans="1:19" ht="12.75" customHeight="1" x14ac:dyDescent="0.2">
      <c r="C448" s="1" t="s">
        <v>224</v>
      </c>
      <c r="D448" s="1"/>
      <c r="E448" s="6">
        <v>-24150880.069999814</v>
      </c>
      <c r="G448" s="6">
        <v>-15271863.599999994</v>
      </c>
      <c r="H448" s="49"/>
      <c r="I448" s="6">
        <v>-12005813.950000107</v>
      </c>
      <c r="J448" s="49"/>
      <c r="K448" s="6">
        <v>-8111202.5200000107</v>
      </c>
      <c r="L448" s="49"/>
      <c r="M448" s="6">
        <v>-1454151.6400000453</v>
      </c>
      <c r="N448" s="50"/>
      <c r="O448" s="6">
        <v>-220428.43000000715</v>
      </c>
      <c r="P448" s="49"/>
      <c r="Q448" s="6">
        <v>-11237700</v>
      </c>
      <c r="R448" s="47">
        <f>E448-M448-O448-Q448</f>
        <v>-11238599.999999762</v>
      </c>
      <c r="S448" s="50">
        <f>E448-M448-O448+Q448</f>
        <v>-33713999.999999762</v>
      </c>
    </row>
    <row r="449" spans="1:19" ht="12.75" customHeight="1" x14ac:dyDescent="0.2">
      <c r="C449" s="1"/>
      <c r="D449" s="1"/>
      <c r="E449" s="35"/>
      <c r="F449" s="40"/>
      <c r="G449" s="50"/>
      <c r="H449" s="49"/>
      <c r="I449" s="50"/>
      <c r="J449" s="49"/>
      <c r="K449" s="50"/>
      <c r="L449" s="49"/>
      <c r="M449" s="50"/>
      <c r="N449" s="50"/>
      <c r="O449" s="50"/>
      <c r="P449" s="49"/>
      <c r="Q449" s="50"/>
      <c r="R449" s="47"/>
      <c r="S449" s="50"/>
    </row>
    <row r="450" spans="1:19" ht="12.75" customHeight="1" x14ac:dyDescent="0.2">
      <c r="A450" s="5"/>
      <c r="B450" s="59" t="s">
        <v>275</v>
      </c>
      <c r="C450" s="60"/>
      <c r="D450" s="61"/>
      <c r="E450" s="62">
        <v>11238000</v>
      </c>
      <c r="F450" s="63"/>
      <c r="G450" s="62">
        <v>6305429</v>
      </c>
      <c r="H450" s="62"/>
      <c r="I450" s="62">
        <v>4930991.92</v>
      </c>
      <c r="J450" s="64"/>
      <c r="K450" s="62">
        <v>1579.08</v>
      </c>
      <c r="L450" s="64"/>
      <c r="M450" s="62">
        <v>0</v>
      </c>
      <c r="N450" s="64"/>
      <c r="O450" s="62">
        <v>0</v>
      </c>
      <c r="P450" s="64"/>
      <c r="Q450" s="62">
        <v>11238000</v>
      </c>
      <c r="R450" s="65"/>
      <c r="S450" s="66"/>
    </row>
    <row r="451" spans="1:19" ht="12.75" customHeight="1" x14ac:dyDescent="0.2">
      <c r="A451" s="5"/>
      <c r="B451" s="34"/>
    </row>
    <row r="452" spans="1:19" ht="12.75" customHeight="1" x14ac:dyDescent="0.2">
      <c r="D452" s="26"/>
    </row>
    <row r="453" spans="1:19" ht="13.5" thickBot="1" x14ac:dyDescent="0.25">
      <c r="D453" s="1" t="s">
        <v>209</v>
      </c>
      <c r="E453" s="79">
        <f>+E446+E448+E450</f>
        <v>812290025.5</v>
      </c>
      <c r="F453" s="80"/>
      <c r="G453" s="79">
        <f>+G446+G448+G450</f>
        <v>223157000.30000001</v>
      </c>
      <c r="H453" s="81"/>
      <c r="I453" s="79">
        <f>+I446+I448+I450</f>
        <v>386178849.86999995</v>
      </c>
      <c r="J453" s="81"/>
      <c r="K453" s="79">
        <f>+K446+K448+K450</f>
        <v>202954175.33000001</v>
      </c>
      <c r="L453" s="81"/>
      <c r="M453" s="96">
        <f>+M446+M448+M450</f>
        <v>411316553.58999997</v>
      </c>
      <c r="N453" s="37"/>
      <c r="O453" s="96">
        <f>+O446+O448+O450</f>
        <v>478986828.77000004</v>
      </c>
      <c r="P453" s="81"/>
      <c r="Q453" s="79">
        <f>+Q446+Q448+Q450</f>
        <v>78013356.859999999</v>
      </c>
      <c r="R453" s="77">
        <f>E453-G453-I453-K453</f>
        <v>0</v>
      </c>
      <c r="S453" s="49">
        <f>E453-M453-O453+Q453</f>
        <v>0</v>
      </c>
    </row>
    <row r="454" spans="1:19" ht="12.75" customHeight="1" thickTop="1" x14ac:dyDescent="0.2">
      <c r="D454" s="26"/>
      <c r="E454" s="8"/>
      <c r="F454" s="80"/>
      <c r="G454" s="8"/>
      <c r="H454" s="8"/>
      <c r="I454" s="8"/>
      <c r="J454" s="8"/>
      <c r="K454" s="8"/>
      <c r="L454" s="8"/>
      <c r="P454" s="8"/>
      <c r="Q454" s="8"/>
      <c r="R454" s="72"/>
      <c r="S454" s="72"/>
    </row>
    <row r="455" spans="1:19" ht="12.75" customHeight="1" x14ac:dyDescent="0.2">
      <c r="E455" s="109"/>
    </row>
    <row r="456" spans="1:19" ht="12.75" customHeight="1" x14ac:dyDescent="0.2">
      <c r="E456" s="109"/>
      <c r="G456" s="109"/>
      <c r="I456" s="109"/>
      <c r="J456" s="7"/>
      <c r="K456" s="109"/>
      <c r="M456" s="109"/>
      <c r="O456" s="109"/>
      <c r="P456" s="7"/>
      <c r="Q456" s="109"/>
    </row>
  </sheetData>
  <phoneticPr fontId="0" type="noConversion"/>
  <printOptions horizontalCentered="1"/>
  <pageMargins left="0.59" right="0.34" top="1.07" bottom="0.5" header="0.41" footer="0.25"/>
  <pageSetup scale="78" fitToHeight="8" pageOrder="overThenDown" orientation="portrait" r:id="rId1"/>
  <headerFooter alignWithMargins="0">
    <oddHeader>&amp;L
&amp;"Times New Roman,Regular"
   (Dollars in Thousands)&amp;C&amp;"Times New Roman,Regular"
Santa Barbara
CURRENT FUNDS EXPENDITURES BY DEPARTMENT&amp;R
&amp;"Times New Roman,Regular"2013-14 Schedule 9-C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2C4B50F860C149B70746F45EF17B19" ma:contentTypeVersion="0" ma:contentTypeDescription="Create a new document." ma:contentTypeScope="" ma:versionID="3dd0e3ba527e82b9602ed72f4c5e62c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7013C0-A327-4204-9105-B2DDD47223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75BB756-0639-4578-9166-75ABE363B69E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335798B-BDBF-44DC-9E0E-6CE828146BD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642BAAD-820D-4690-BD9D-ADC9071139B0}">
  <ds:schemaRefs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SB</vt:lpstr>
      <vt:lpstr>SB!Print_Area</vt:lpstr>
      <vt:lpstr>SB!Print_Titles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Joquin Castellanos</dc:creator>
  <cp:lastModifiedBy>ACTG Remington, Russell</cp:lastModifiedBy>
  <cp:lastPrinted>2014-09-10T20:32:24Z</cp:lastPrinted>
  <dcterms:created xsi:type="dcterms:W3CDTF">1999-06-16T15:37:38Z</dcterms:created>
  <dcterms:modified xsi:type="dcterms:W3CDTF">2014-09-10T20:39:20Z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0x010100CF2C4B50F860C149B70746F45EF17B19</vt:lpwstr>
  </property>
</Properties>
</file>