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aveExternalLinkValues="0" defaultThemeVersion="124226"/>
  <bookViews>
    <workbookView xWindow="-12" yWindow="108" windowWidth="17256" windowHeight="4836"/>
  </bookViews>
  <sheets>
    <sheet name="SB" sheetId="1" r:id="rId1"/>
  </sheets>
  <definedNames>
    <definedName name="_xlnm.Print_Area" localSheetId="0">SB!$A$1:$Q$471</definedName>
    <definedName name="_xlnm.Print_Titles" localSheetId="0">SB!$1:$4</definedName>
  </definedNames>
  <calcPr calcId="145621"/>
</workbook>
</file>

<file path=xl/calcChain.xml><?xml version="1.0" encoding="utf-8"?>
<calcChain xmlns="http://schemas.openxmlformats.org/spreadsheetml/2006/main">
  <c r="O309" i="1" l="1"/>
  <c r="M309" i="1"/>
  <c r="I309" i="1"/>
  <c r="O390" i="1" l="1"/>
  <c r="I390" i="1"/>
  <c r="E50" i="1" l="1"/>
  <c r="E456" i="1"/>
  <c r="R456" i="1" s="1"/>
  <c r="E460" i="1"/>
  <c r="E468" i="1"/>
  <c r="S456" i="1" l="1"/>
  <c r="Q483" i="1"/>
  <c r="Q466" i="1" s="1"/>
  <c r="O483" i="1"/>
  <c r="O466" i="1" s="1"/>
  <c r="M483" i="1"/>
  <c r="M466" i="1" s="1"/>
  <c r="K483" i="1"/>
  <c r="K466" i="1" s="1"/>
  <c r="I483" i="1"/>
  <c r="I466" i="1" s="1"/>
  <c r="G483" i="1"/>
  <c r="G466" i="1" s="1"/>
  <c r="O458" i="1"/>
  <c r="K458" i="1"/>
  <c r="I458" i="1"/>
  <c r="G458" i="1"/>
  <c r="E425" i="1"/>
  <c r="S425" i="1" s="1"/>
  <c r="E401" i="1"/>
  <c r="S401" i="1" s="1"/>
  <c r="E408" i="1"/>
  <c r="S408" i="1" s="1"/>
  <c r="Q384" i="1"/>
  <c r="O384" i="1"/>
  <c r="M384" i="1"/>
  <c r="K384" i="1"/>
  <c r="I384" i="1"/>
  <c r="G384" i="1"/>
  <c r="E466" i="1" l="1"/>
  <c r="E458" i="1"/>
  <c r="E462" i="1" s="1"/>
  <c r="R425" i="1"/>
  <c r="R401" i="1"/>
  <c r="R408" i="1"/>
  <c r="E360" i="1"/>
  <c r="S360" i="1" s="1"/>
  <c r="E317" i="1"/>
  <c r="S317" i="1" s="1"/>
  <c r="E316" i="1"/>
  <c r="S316" i="1" s="1"/>
  <c r="E273" i="1"/>
  <c r="S273" i="1" s="1"/>
  <c r="Q201" i="1"/>
  <c r="O201" i="1"/>
  <c r="M201" i="1"/>
  <c r="K201" i="1"/>
  <c r="I201" i="1"/>
  <c r="G201" i="1"/>
  <c r="E197" i="1"/>
  <c r="R197" i="1" s="1"/>
  <c r="E199" i="1"/>
  <c r="S199" i="1" s="1"/>
  <c r="S197" i="1" l="1"/>
  <c r="R360" i="1"/>
  <c r="R317" i="1"/>
  <c r="R316" i="1"/>
  <c r="R273" i="1"/>
  <c r="R199" i="1"/>
  <c r="Q158" i="1"/>
  <c r="M158" i="1"/>
  <c r="K158" i="1"/>
  <c r="I158" i="1"/>
  <c r="G158" i="1"/>
  <c r="E153" i="1" l="1"/>
  <c r="S153" i="1" s="1"/>
  <c r="O120" i="1"/>
  <c r="O158" i="1" s="1"/>
  <c r="E166" i="1"/>
  <c r="S166" i="1" s="1"/>
  <c r="E482" i="1"/>
  <c r="S482" i="1" s="1"/>
  <c r="E481" i="1"/>
  <c r="R481" i="1" s="1"/>
  <c r="E480" i="1"/>
  <c r="S480" i="1" s="1"/>
  <c r="E479" i="1"/>
  <c r="S479" i="1" s="1"/>
  <c r="E478" i="1"/>
  <c r="S478" i="1" s="1"/>
  <c r="E477" i="1"/>
  <c r="R477" i="1" s="1"/>
  <c r="E476" i="1"/>
  <c r="S476" i="1" s="1"/>
  <c r="E475" i="1"/>
  <c r="S50" i="1"/>
  <c r="S475" i="1" l="1"/>
  <c r="E483" i="1"/>
  <c r="S481" i="1"/>
  <c r="S477" i="1"/>
  <c r="R480" i="1"/>
  <c r="R476" i="1"/>
  <c r="R153" i="1"/>
  <c r="R166" i="1"/>
  <c r="R475" i="1"/>
  <c r="R479" i="1"/>
  <c r="R478" i="1"/>
  <c r="R482" i="1"/>
  <c r="O54" i="1" l="1"/>
  <c r="K54" i="1"/>
  <c r="E39" i="1" l="1"/>
  <c r="S397" i="1" l="1"/>
  <c r="S377" i="1"/>
  <c r="S375" i="1"/>
  <c r="S373" i="1"/>
  <c r="S353" i="1"/>
  <c r="S346" i="1"/>
  <c r="S265" i="1"/>
  <c r="S239" i="1"/>
  <c r="S237" i="1"/>
  <c r="S222" i="1"/>
  <c r="S138" i="1"/>
  <c r="E7" i="1"/>
  <c r="S7" i="1" s="1"/>
  <c r="S458" i="1"/>
  <c r="S468" i="1"/>
  <c r="E390" i="1"/>
  <c r="R390" i="1" s="1"/>
  <c r="E405" i="1"/>
  <c r="R405" i="1" s="1"/>
  <c r="E9" i="1"/>
  <c r="S9" i="1" s="1"/>
  <c r="E12" i="1"/>
  <c r="S12" i="1" s="1"/>
  <c r="G22" i="1"/>
  <c r="G30" i="1" s="1"/>
  <c r="I22" i="1"/>
  <c r="K22" i="1"/>
  <c r="E24" i="1"/>
  <c r="S24" i="1" s="1"/>
  <c r="E27" i="1"/>
  <c r="S27" i="1" s="1"/>
  <c r="G65" i="1"/>
  <c r="I65" i="1"/>
  <c r="K65" i="1"/>
  <c r="G59" i="1"/>
  <c r="I59" i="1"/>
  <c r="K59" i="1"/>
  <c r="G43" i="1"/>
  <c r="I43" i="1"/>
  <c r="K43" i="1"/>
  <c r="Q438" i="1"/>
  <c r="Q452" i="1"/>
  <c r="Q462" i="1"/>
  <c r="Q329" i="1"/>
  <c r="Q418" i="1"/>
  <c r="Q367" i="1"/>
  <c r="Q229" i="1"/>
  <c r="Q256" i="1"/>
  <c r="Q269" i="1"/>
  <c r="Q289" i="1"/>
  <c r="Q301" i="1"/>
  <c r="Q213" i="1"/>
  <c r="Q175" i="1"/>
  <c r="Q115" i="1"/>
  <c r="Q65" i="1"/>
  <c r="Q59" i="1"/>
  <c r="Q43" i="1"/>
  <c r="Q22" i="1"/>
  <c r="Q30" i="1" s="1"/>
  <c r="Q14" i="1"/>
  <c r="Q193" i="1"/>
  <c r="O438" i="1"/>
  <c r="O452" i="1"/>
  <c r="O462" i="1"/>
  <c r="O329" i="1"/>
  <c r="O418" i="1"/>
  <c r="O367" i="1"/>
  <c r="O229" i="1"/>
  <c r="O256" i="1"/>
  <c r="O269" i="1"/>
  <c r="O289" i="1"/>
  <c r="O301" i="1"/>
  <c r="O213" i="1"/>
  <c r="O175" i="1"/>
  <c r="O115" i="1"/>
  <c r="O65" i="1"/>
  <c r="O59" i="1"/>
  <c r="O43" i="1"/>
  <c r="O22" i="1"/>
  <c r="O14" i="1"/>
  <c r="O193" i="1"/>
  <c r="M438" i="1"/>
  <c r="M452" i="1"/>
  <c r="M462" i="1"/>
  <c r="M329" i="1"/>
  <c r="M418" i="1"/>
  <c r="M367" i="1"/>
  <c r="M229" i="1"/>
  <c r="M256" i="1"/>
  <c r="M269" i="1"/>
  <c r="M289" i="1"/>
  <c r="M301" i="1"/>
  <c r="M213" i="1"/>
  <c r="M175" i="1"/>
  <c r="M115" i="1"/>
  <c r="M65" i="1"/>
  <c r="M59" i="1"/>
  <c r="M43" i="1"/>
  <c r="M22" i="1"/>
  <c r="M30" i="1" s="1"/>
  <c r="M14" i="1"/>
  <c r="M193" i="1"/>
  <c r="K438" i="1"/>
  <c r="K452" i="1"/>
  <c r="K462" i="1"/>
  <c r="K329" i="1"/>
  <c r="E384" i="1"/>
  <c r="R384" i="1" s="1"/>
  <c r="K367" i="1"/>
  <c r="K229" i="1"/>
  <c r="K256" i="1"/>
  <c r="K269" i="1"/>
  <c r="K289" i="1"/>
  <c r="K301" i="1"/>
  <c r="K213" i="1"/>
  <c r="K175" i="1"/>
  <c r="K115" i="1"/>
  <c r="K14" i="1"/>
  <c r="K193" i="1"/>
  <c r="I438" i="1"/>
  <c r="I452" i="1"/>
  <c r="I462" i="1"/>
  <c r="E324" i="1"/>
  <c r="R324" i="1" s="1"/>
  <c r="I418" i="1"/>
  <c r="I367" i="1"/>
  <c r="I229" i="1"/>
  <c r="I256" i="1"/>
  <c r="E262" i="1"/>
  <c r="R262" i="1" s="1"/>
  <c r="I289" i="1"/>
  <c r="I301" i="1"/>
  <c r="I213" i="1"/>
  <c r="I175" i="1"/>
  <c r="I115" i="1"/>
  <c r="I14" i="1"/>
  <c r="I193" i="1"/>
  <c r="G438" i="1"/>
  <c r="G452" i="1"/>
  <c r="G462" i="1"/>
  <c r="G329" i="1"/>
  <c r="G418" i="1"/>
  <c r="G367" i="1"/>
  <c r="G229" i="1"/>
  <c r="G256" i="1"/>
  <c r="G269" i="1"/>
  <c r="G289" i="1"/>
  <c r="G301" i="1"/>
  <c r="G213" i="1"/>
  <c r="G175" i="1"/>
  <c r="G115" i="1"/>
  <c r="E158" i="1"/>
  <c r="S158" i="1" s="1"/>
  <c r="G14" i="1"/>
  <c r="G193" i="1"/>
  <c r="R460" i="1"/>
  <c r="E314" i="1"/>
  <c r="S314" i="1" s="1"/>
  <c r="E315" i="1"/>
  <c r="R315" i="1" s="1"/>
  <c r="E318" i="1"/>
  <c r="S318" i="1" s="1"/>
  <c r="E319" i="1"/>
  <c r="S319" i="1" s="1"/>
  <c r="E320" i="1"/>
  <c r="R320" i="1" s="1"/>
  <c r="E321" i="1"/>
  <c r="S321" i="1" s="1"/>
  <c r="E322" i="1"/>
  <c r="S322" i="1" s="1"/>
  <c r="E323" i="1"/>
  <c r="S323" i="1" s="1"/>
  <c r="E325" i="1"/>
  <c r="S325" i="1" s="1"/>
  <c r="E326" i="1"/>
  <c r="S326" i="1" s="1"/>
  <c r="E371" i="1"/>
  <c r="S371" i="1" s="1"/>
  <c r="E372" i="1"/>
  <c r="R372" i="1" s="1"/>
  <c r="E374" i="1"/>
  <c r="R374" i="1" s="1"/>
  <c r="E376" i="1"/>
  <c r="R376" i="1" s="1"/>
  <c r="E378" i="1"/>
  <c r="R378" i="1" s="1"/>
  <c r="E379" i="1"/>
  <c r="R379" i="1" s="1"/>
  <c r="E380" i="1"/>
  <c r="S380" i="1" s="1"/>
  <c r="E381" i="1"/>
  <c r="S381" i="1" s="1"/>
  <c r="E382" i="1"/>
  <c r="S382" i="1" s="1"/>
  <c r="E383" i="1"/>
  <c r="R383" i="1" s="1"/>
  <c r="E385" i="1"/>
  <c r="S385" i="1" s="1"/>
  <c r="E386" i="1"/>
  <c r="S386" i="1" s="1"/>
  <c r="E387" i="1"/>
  <c r="R387" i="1" s="1"/>
  <c r="E388" i="1"/>
  <c r="S388" i="1" s="1"/>
  <c r="E389" i="1"/>
  <c r="S389" i="1" s="1"/>
  <c r="E391" i="1"/>
  <c r="S391" i="1" s="1"/>
  <c r="E392" i="1"/>
  <c r="R392" i="1" s="1"/>
  <c r="E393" i="1"/>
  <c r="S393" i="1" s="1"/>
  <c r="E394" i="1"/>
  <c r="S394" i="1" s="1"/>
  <c r="E395" i="1"/>
  <c r="S395" i="1" s="1"/>
  <c r="E396" i="1"/>
  <c r="R396" i="1" s="1"/>
  <c r="E398" i="1"/>
  <c r="S398" i="1" s="1"/>
  <c r="E399" i="1"/>
  <c r="S399" i="1" s="1"/>
  <c r="E400" i="1"/>
  <c r="S400" i="1" s="1"/>
  <c r="E402" i="1"/>
  <c r="R402" i="1" s="1"/>
  <c r="E403" i="1"/>
  <c r="S403" i="1" s="1"/>
  <c r="E404" i="1"/>
  <c r="S404" i="1" s="1"/>
  <c r="E406" i="1"/>
  <c r="S406" i="1" s="1"/>
  <c r="E407" i="1"/>
  <c r="R407" i="1" s="1"/>
  <c r="E409" i="1"/>
  <c r="S409" i="1" s="1"/>
  <c r="E410" i="1"/>
  <c r="S410" i="1" s="1"/>
  <c r="E411" i="1"/>
  <c r="S411" i="1" s="1"/>
  <c r="E412" i="1"/>
  <c r="R412" i="1" s="1"/>
  <c r="E413" i="1"/>
  <c r="S413" i="1" s="1"/>
  <c r="E414" i="1"/>
  <c r="S414" i="1" s="1"/>
  <c r="E415" i="1"/>
  <c r="S415" i="1" s="1"/>
  <c r="E416" i="1"/>
  <c r="R416" i="1" s="1"/>
  <c r="E333" i="1"/>
  <c r="S333" i="1" s="1"/>
  <c r="E334" i="1"/>
  <c r="R334" i="1" s="1"/>
  <c r="E335" i="1"/>
  <c r="S335" i="1" s="1"/>
  <c r="E336" i="1"/>
  <c r="S336" i="1" s="1"/>
  <c r="E337" i="1"/>
  <c r="S337" i="1" s="1"/>
  <c r="E338" i="1"/>
  <c r="R338" i="1" s="1"/>
  <c r="E339" i="1"/>
  <c r="S339" i="1" s="1"/>
  <c r="E340" i="1"/>
  <c r="S340" i="1" s="1"/>
  <c r="E341" i="1"/>
  <c r="S341" i="1" s="1"/>
  <c r="E342" i="1"/>
  <c r="R342" i="1" s="1"/>
  <c r="E343" i="1"/>
  <c r="S343" i="1" s="1"/>
  <c r="E344" i="1"/>
  <c r="S344" i="1" s="1"/>
  <c r="E345" i="1"/>
  <c r="S345" i="1" s="1"/>
  <c r="E347" i="1"/>
  <c r="R347" i="1" s="1"/>
  <c r="E348" i="1"/>
  <c r="S348" i="1" s="1"/>
  <c r="E349" i="1"/>
  <c r="S349" i="1" s="1"/>
  <c r="E350" i="1"/>
  <c r="S350" i="1" s="1"/>
  <c r="E351" i="1"/>
  <c r="R351" i="1" s="1"/>
  <c r="E352" i="1"/>
  <c r="S352" i="1" s="1"/>
  <c r="E354" i="1"/>
  <c r="R354" i="1" s="1"/>
  <c r="E355" i="1"/>
  <c r="S355" i="1" s="1"/>
  <c r="E356" i="1"/>
  <c r="R356" i="1" s="1"/>
  <c r="E357" i="1"/>
  <c r="S357" i="1" s="1"/>
  <c r="E358" i="1"/>
  <c r="S358" i="1" s="1"/>
  <c r="E359" i="1"/>
  <c r="R359" i="1" s="1"/>
  <c r="E361" i="1"/>
  <c r="R361" i="1" s="1"/>
  <c r="E362" i="1"/>
  <c r="S362" i="1" s="1"/>
  <c r="E363" i="1"/>
  <c r="S363" i="1" s="1"/>
  <c r="E364" i="1"/>
  <c r="S364" i="1" s="1"/>
  <c r="E365" i="1"/>
  <c r="S365" i="1" s="1"/>
  <c r="E297" i="1"/>
  <c r="S297" i="1" s="1"/>
  <c r="E298" i="1"/>
  <c r="S298" i="1" s="1"/>
  <c r="E299" i="1"/>
  <c r="R299" i="1" s="1"/>
  <c r="E309" i="1"/>
  <c r="S309" i="1" s="1"/>
  <c r="E201" i="1"/>
  <c r="R201" i="1" s="1"/>
  <c r="E181" i="1"/>
  <c r="S181" i="1" s="1"/>
  <c r="E205" i="1"/>
  <c r="R205" i="1" s="1"/>
  <c r="E305" i="1"/>
  <c r="R305" i="1" s="1"/>
  <c r="E112" i="1"/>
  <c r="S112" i="1" s="1"/>
  <c r="E236" i="1"/>
  <c r="R236" i="1" s="1"/>
  <c r="E251" i="1"/>
  <c r="R251" i="1" s="1"/>
  <c r="E249" i="1"/>
  <c r="R249" i="1" s="1"/>
  <c r="E248" i="1"/>
  <c r="R248" i="1" s="1"/>
  <c r="E242" i="1"/>
  <c r="R242" i="1" s="1"/>
  <c r="E235" i="1"/>
  <c r="S235" i="1" s="1"/>
  <c r="E277" i="1"/>
  <c r="R277" i="1" s="1"/>
  <c r="E279" i="1"/>
  <c r="R279" i="1" s="1"/>
  <c r="E219" i="1"/>
  <c r="R219" i="1" s="1"/>
  <c r="E263" i="1"/>
  <c r="R263" i="1" s="1"/>
  <c r="E161" i="1"/>
  <c r="S161" i="1" s="1"/>
  <c r="E145" i="1"/>
  <c r="R145" i="1" s="1"/>
  <c r="E99" i="1"/>
  <c r="R99" i="1" s="1"/>
  <c r="E51" i="1"/>
  <c r="R51" i="1" s="1"/>
  <c r="E284" i="1"/>
  <c r="S284" i="1" s="1"/>
  <c r="E441" i="1"/>
  <c r="S441" i="1" s="1"/>
  <c r="E267" i="1"/>
  <c r="R267" i="1" s="1"/>
  <c r="E173" i="1"/>
  <c r="S173" i="1" s="1"/>
  <c r="R39" i="1"/>
  <c r="E19" i="1"/>
  <c r="R19" i="1" s="1"/>
  <c r="E450" i="1"/>
  <c r="S450" i="1" s="1"/>
  <c r="E436" i="1"/>
  <c r="R436" i="1" s="1"/>
  <c r="E287" i="1"/>
  <c r="S287" i="1" s="1"/>
  <c r="E254" i="1"/>
  <c r="S254" i="1" s="1"/>
  <c r="E227" i="1"/>
  <c r="R227" i="1" s="1"/>
  <c r="E211" i="1"/>
  <c r="R211" i="1" s="1"/>
  <c r="E209" i="1"/>
  <c r="R209" i="1" s="1"/>
  <c r="E190" i="1"/>
  <c r="R190" i="1" s="1"/>
  <c r="E188" i="1"/>
  <c r="S188" i="1" s="1"/>
  <c r="E186" i="1"/>
  <c r="R186" i="1" s="1"/>
  <c r="E156" i="1"/>
  <c r="R156" i="1" s="1"/>
  <c r="E113" i="1"/>
  <c r="S113" i="1" s="1"/>
  <c r="E63" i="1"/>
  <c r="R63" i="1" s="1"/>
  <c r="E57" i="1"/>
  <c r="S57" i="1" s="1"/>
  <c r="E41" i="1"/>
  <c r="S41" i="1" s="1"/>
  <c r="E20" i="1"/>
  <c r="R20" i="1" s="1"/>
  <c r="E432" i="1"/>
  <c r="R432" i="1" s="1"/>
  <c r="R239" i="1"/>
  <c r="R237" i="1"/>
  <c r="R222" i="1"/>
  <c r="R160" i="1"/>
  <c r="R138" i="1"/>
  <c r="E442" i="1"/>
  <c r="R442" i="1" s="1"/>
  <c r="E443" i="1"/>
  <c r="R443" i="1" s="1"/>
  <c r="E444" i="1"/>
  <c r="R444" i="1" s="1"/>
  <c r="E445" i="1"/>
  <c r="R445" i="1" s="1"/>
  <c r="E446" i="1"/>
  <c r="S446" i="1" s="1"/>
  <c r="E447" i="1"/>
  <c r="R447" i="1" s="1"/>
  <c r="E448" i="1"/>
  <c r="R448" i="1" s="1"/>
  <c r="E449" i="1"/>
  <c r="R449" i="1" s="1"/>
  <c r="E423" i="1"/>
  <c r="R423" i="1" s="1"/>
  <c r="E426" i="1"/>
  <c r="R426" i="1" s="1"/>
  <c r="E427" i="1"/>
  <c r="R427" i="1" s="1"/>
  <c r="E428" i="1"/>
  <c r="S428" i="1" s="1"/>
  <c r="E429" i="1"/>
  <c r="R429" i="1" s="1"/>
  <c r="E430" i="1"/>
  <c r="R430" i="1" s="1"/>
  <c r="E431" i="1"/>
  <c r="S431" i="1" s="1"/>
  <c r="E433" i="1"/>
  <c r="R433" i="1" s="1"/>
  <c r="E434" i="1"/>
  <c r="R434" i="1" s="1"/>
  <c r="E435" i="1"/>
  <c r="R435" i="1" s="1"/>
  <c r="E424" i="1"/>
  <c r="R424" i="1" s="1"/>
  <c r="E272" i="1"/>
  <c r="R272" i="1" s="1"/>
  <c r="E274" i="1"/>
  <c r="S274" i="1" s="1"/>
  <c r="E275" i="1"/>
  <c r="R275" i="1" s="1"/>
  <c r="E276" i="1"/>
  <c r="R276" i="1" s="1"/>
  <c r="E278" i="1"/>
  <c r="S278" i="1" s="1"/>
  <c r="E280" i="1"/>
  <c r="R280" i="1" s="1"/>
  <c r="E281" i="1"/>
  <c r="S281" i="1" s="1"/>
  <c r="E282" i="1"/>
  <c r="R282" i="1" s="1"/>
  <c r="E283" i="1"/>
  <c r="R283" i="1" s="1"/>
  <c r="E285" i="1"/>
  <c r="R285" i="1" s="1"/>
  <c r="E286" i="1"/>
  <c r="R286" i="1" s="1"/>
  <c r="E259" i="1"/>
  <c r="S259" i="1" s="1"/>
  <c r="E260" i="1"/>
  <c r="R260" i="1" s="1"/>
  <c r="E264" i="1"/>
  <c r="R264" i="1" s="1"/>
  <c r="E261" i="1"/>
  <c r="R261" i="1" s="1"/>
  <c r="E266" i="1"/>
  <c r="R266" i="1" s="1"/>
  <c r="E218" i="1"/>
  <c r="R218" i="1" s="1"/>
  <c r="E220" i="1"/>
  <c r="R220" i="1" s="1"/>
  <c r="E221" i="1"/>
  <c r="R221" i="1" s="1"/>
  <c r="E223" i="1"/>
  <c r="R223" i="1" s="1"/>
  <c r="E224" i="1"/>
  <c r="R224" i="1" s="1"/>
  <c r="E225" i="1"/>
  <c r="R225" i="1" s="1"/>
  <c r="E226" i="1"/>
  <c r="R226" i="1" s="1"/>
  <c r="E73" i="1"/>
  <c r="R73" i="1" s="1"/>
  <c r="E74" i="1"/>
  <c r="R74" i="1" s="1"/>
  <c r="E75" i="1"/>
  <c r="R75" i="1" s="1"/>
  <c r="E76" i="1"/>
  <c r="R76" i="1" s="1"/>
  <c r="E77" i="1"/>
  <c r="S77" i="1" s="1"/>
  <c r="E78" i="1"/>
  <c r="R78" i="1" s="1"/>
  <c r="E79" i="1"/>
  <c r="R79" i="1" s="1"/>
  <c r="E80" i="1"/>
  <c r="S80" i="1" s="1"/>
  <c r="E81" i="1"/>
  <c r="R81" i="1" s="1"/>
  <c r="E82" i="1"/>
  <c r="R82" i="1" s="1"/>
  <c r="E83" i="1"/>
  <c r="R83" i="1" s="1"/>
  <c r="E84" i="1"/>
  <c r="R84" i="1" s="1"/>
  <c r="E85" i="1"/>
  <c r="R85" i="1" s="1"/>
  <c r="E86" i="1"/>
  <c r="R86" i="1" s="1"/>
  <c r="E87" i="1"/>
  <c r="S87" i="1" s="1"/>
  <c r="E88" i="1"/>
  <c r="R88" i="1" s="1"/>
  <c r="E89" i="1"/>
  <c r="R89" i="1" s="1"/>
  <c r="E90" i="1"/>
  <c r="R90" i="1" s="1"/>
  <c r="E91" i="1"/>
  <c r="R91" i="1" s="1"/>
  <c r="E92" i="1"/>
  <c r="R92" i="1" s="1"/>
  <c r="E93" i="1"/>
  <c r="S93" i="1" s="1"/>
  <c r="E94" i="1"/>
  <c r="R94" i="1" s="1"/>
  <c r="E95" i="1"/>
  <c r="R95" i="1" s="1"/>
  <c r="E96" i="1"/>
  <c r="R96" i="1" s="1"/>
  <c r="E97" i="1"/>
  <c r="R97" i="1" s="1"/>
  <c r="E98" i="1"/>
  <c r="R98" i="1" s="1"/>
  <c r="E100" i="1"/>
  <c r="R100" i="1" s="1"/>
  <c r="E101" i="1"/>
  <c r="S101" i="1" s="1"/>
  <c r="E102" i="1"/>
  <c r="R102" i="1" s="1"/>
  <c r="E103" i="1"/>
  <c r="S103" i="1" s="1"/>
  <c r="E104" i="1"/>
  <c r="S104" i="1" s="1"/>
  <c r="E105" i="1"/>
  <c r="R105" i="1" s="1"/>
  <c r="E106" i="1"/>
  <c r="S106" i="1" s="1"/>
  <c r="E107" i="1"/>
  <c r="R107" i="1" s="1"/>
  <c r="E108" i="1"/>
  <c r="R108" i="1" s="1"/>
  <c r="E109" i="1"/>
  <c r="R109" i="1" s="1"/>
  <c r="E110" i="1"/>
  <c r="R110" i="1" s="1"/>
  <c r="E111" i="1"/>
  <c r="R111" i="1" s="1"/>
  <c r="E118" i="1"/>
  <c r="R118" i="1" s="1"/>
  <c r="E119" i="1"/>
  <c r="S119" i="1" s="1"/>
  <c r="E120" i="1"/>
  <c r="R120" i="1" s="1"/>
  <c r="E121" i="1"/>
  <c r="R121" i="1" s="1"/>
  <c r="E122" i="1"/>
  <c r="R122" i="1" s="1"/>
  <c r="E123" i="1"/>
  <c r="R123" i="1" s="1"/>
  <c r="E124" i="1"/>
  <c r="R124" i="1" s="1"/>
  <c r="E125" i="1"/>
  <c r="R125" i="1" s="1"/>
  <c r="E126" i="1"/>
  <c r="R126" i="1" s="1"/>
  <c r="E127" i="1"/>
  <c r="R127" i="1" s="1"/>
  <c r="E128" i="1"/>
  <c r="R128" i="1" s="1"/>
  <c r="E129" i="1"/>
  <c r="R129" i="1" s="1"/>
  <c r="E130" i="1"/>
  <c r="S130" i="1" s="1"/>
  <c r="E131" i="1"/>
  <c r="R131" i="1" s="1"/>
  <c r="E132" i="1"/>
  <c r="R132" i="1" s="1"/>
  <c r="E133" i="1"/>
  <c r="S133" i="1" s="1"/>
  <c r="E134" i="1"/>
  <c r="R134" i="1" s="1"/>
  <c r="E135" i="1"/>
  <c r="R135" i="1" s="1"/>
  <c r="E136" i="1"/>
  <c r="R136" i="1" s="1"/>
  <c r="E137" i="1"/>
  <c r="R137" i="1" s="1"/>
  <c r="E139" i="1"/>
  <c r="R139" i="1" s="1"/>
  <c r="E140" i="1"/>
  <c r="R140" i="1" s="1"/>
  <c r="E141" i="1"/>
  <c r="R141" i="1" s="1"/>
  <c r="E142" i="1"/>
  <c r="R142" i="1" s="1"/>
  <c r="E143" i="1"/>
  <c r="R143" i="1" s="1"/>
  <c r="E144" i="1"/>
  <c r="R144" i="1" s="1"/>
  <c r="E146" i="1"/>
  <c r="R146" i="1" s="1"/>
  <c r="E147" i="1"/>
  <c r="R147" i="1" s="1"/>
  <c r="E148" i="1"/>
  <c r="R148" i="1" s="1"/>
  <c r="E149" i="1"/>
  <c r="R149" i="1" s="1"/>
  <c r="E150" i="1"/>
  <c r="R150" i="1" s="1"/>
  <c r="E151" i="1"/>
  <c r="R151" i="1" s="1"/>
  <c r="E152" i="1"/>
  <c r="S152" i="1" s="1"/>
  <c r="E154" i="1"/>
  <c r="R154" i="1" s="1"/>
  <c r="E155" i="1"/>
  <c r="R155" i="1" s="1"/>
  <c r="E62" i="1"/>
  <c r="R62" i="1" s="1"/>
  <c r="E46" i="1"/>
  <c r="R46" i="1" s="1"/>
  <c r="E47" i="1"/>
  <c r="R47" i="1" s="1"/>
  <c r="E48" i="1"/>
  <c r="S48" i="1" s="1"/>
  <c r="E49" i="1"/>
  <c r="R49" i="1" s="1"/>
  <c r="E52" i="1"/>
  <c r="R52" i="1" s="1"/>
  <c r="E53" i="1"/>
  <c r="R53" i="1" s="1"/>
  <c r="E54" i="1"/>
  <c r="R54" i="1" s="1"/>
  <c r="E55" i="1"/>
  <c r="R55" i="1" s="1"/>
  <c r="E35" i="1"/>
  <c r="R35" i="1" s="1"/>
  <c r="E36" i="1"/>
  <c r="R36" i="1" s="1"/>
  <c r="E37" i="1"/>
  <c r="R37" i="1" s="1"/>
  <c r="E38" i="1"/>
  <c r="S38" i="1" s="1"/>
  <c r="E40" i="1"/>
  <c r="R40" i="1" s="1"/>
  <c r="R323" i="1"/>
  <c r="R414" i="1"/>
  <c r="R409" i="1"/>
  <c r="R404" i="1"/>
  <c r="R340" i="1"/>
  <c r="R337" i="1"/>
  <c r="E253" i="1"/>
  <c r="R253" i="1" s="1"/>
  <c r="E252" i="1"/>
  <c r="S252" i="1" s="1"/>
  <c r="E250" i="1"/>
  <c r="R250" i="1" s="1"/>
  <c r="E247" i="1"/>
  <c r="R247" i="1" s="1"/>
  <c r="E246" i="1"/>
  <c r="R246" i="1" s="1"/>
  <c r="E245" i="1"/>
  <c r="R245" i="1" s="1"/>
  <c r="E244" i="1"/>
  <c r="R244" i="1" s="1"/>
  <c r="E243" i="1"/>
  <c r="R243" i="1" s="1"/>
  <c r="E241" i="1"/>
  <c r="R241" i="1" s="1"/>
  <c r="E240" i="1"/>
  <c r="R240" i="1" s="1"/>
  <c r="E238" i="1"/>
  <c r="R238" i="1" s="1"/>
  <c r="E234" i="1"/>
  <c r="S234" i="1" s="1"/>
  <c r="E233" i="1"/>
  <c r="R233" i="1" s="1"/>
  <c r="E232" i="1"/>
  <c r="R232" i="1" s="1"/>
  <c r="E172" i="1"/>
  <c r="R172" i="1" s="1"/>
  <c r="E171" i="1"/>
  <c r="R171" i="1" s="1"/>
  <c r="E170" i="1"/>
  <c r="R170" i="1" s="1"/>
  <c r="E169" i="1"/>
  <c r="R169" i="1" s="1"/>
  <c r="E168" i="1"/>
  <c r="R168" i="1" s="1"/>
  <c r="E167" i="1"/>
  <c r="R167" i="1" s="1"/>
  <c r="E165" i="1"/>
  <c r="R165" i="1" s="1"/>
  <c r="E164" i="1"/>
  <c r="R164" i="1" s="1"/>
  <c r="E163" i="1"/>
  <c r="R163" i="1" s="1"/>
  <c r="E162" i="1"/>
  <c r="R162" i="1" s="1"/>
  <c r="R87" i="1"/>
  <c r="R344" i="1" l="1"/>
  <c r="R335" i="1"/>
  <c r="R352" i="1"/>
  <c r="R386" i="1"/>
  <c r="R411" i="1"/>
  <c r="R400" i="1"/>
  <c r="G454" i="1"/>
  <c r="I454" i="1"/>
  <c r="K454" i="1"/>
  <c r="M454" i="1"/>
  <c r="O454" i="1"/>
  <c r="Q454" i="1"/>
  <c r="R357" i="1"/>
  <c r="R7" i="1"/>
  <c r="R365" i="1"/>
  <c r="R380" i="1"/>
  <c r="R394" i="1"/>
  <c r="R415" i="1"/>
  <c r="R104" i="1"/>
  <c r="R391" i="1"/>
  <c r="R27" i="1"/>
  <c r="R446" i="1"/>
  <c r="R385" i="1"/>
  <c r="R399" i="1"/>
  <c r="R410" i="1"/>
  <c r="R333" i="1"/>
  <c r="R345" i="1"/>
  <c r="R355" i="1"/>
  <c r="R393" i="1"/>
  <c r="R188" i="1"/>
  <c r="R450" i="1"/>
  <c r="R298" i="1"/>
  <c r="R341" i="1"/>
  <c r="R349" i="1"/>
  <c r="R319" i="1"/>
  <c r="R274" i="1"/>
  <c r="R181" i="1"/>
  <c r="R336" i="1"/>
  <c r="R343" i="1"/>
  <c r="R350" i="1"/>
  <c r="R363" i="1"/>
  <c r="R388" i="1"/>
  <c r="R395" i="1"/>
  <c r="R406" i="1"/>
  <c r="R413" i="1"/>
  <c r="R321" i="1"/>
  <c r="R9" i="1"/>
  <c r="R113" i="1"/>
  <c r="E452" i="1"/>
  <c r="S452" i="1" s="1"/>
  <c r="R234" i="1"/>
  <c r="R381" i="1"/>
  <c r="R382" i="1"/>
  <c r="R348" i="1"/>
  <c r="R326" i="1"/>
  <c r="R325" i="1"/>
  <c r="R309" i="1"/>
  <c r="R297" i="1"/>
  <c r="E229" i="1"/>
  <c r="R229" i="1" s="1"/>
  <c r="E213" i="1"/>
  <c r="S213" i="1" s="1"/>
  <c r="R173" i="1"/>
  <c r="R80" i="1"/>
  <c r="R57" i="1"/>
  <c r="G67" i="1"/>
  <c r="R12" i="1"/>
  <c r="I67" i="1"/>
  <c r="R284" i="1"/>
  <c r="E43" i="1"/>
  <c r="R43" i="1" s="1"/>
  <c r="R130" i="1"/>
  <c r="R339" i="1"/>
  <c r="R362" i="1"/>
  <c r="R106" i="1"/>
  <c r="R103" i="1"/>
  <c r="R235" i="1"/>
  <c r="I178" i="1"/>
  <c r="S227" i="1"/>
  <c r="S460" i="1"/>
  <c r="S444" i="1"/>
  <c r="S448" i="1"/>
  <c r="R441" i="1"/>
  <c r="S443" i="1"/>
  <c r="S447" i="1"/>
  <c r="S442" i="1"/>
  <c r="S445" i="1"/>
  <c r="S449" i="1"/>
  <c r="R428" i="1"/>
  <c r="R431" i="1"/>
  <c r="S427" i="1"/>
  <c r="S435" i="1"/>
  <c r="S426" i="1"/>
  <c r="S430" i="1"/>
  <c r="S434" i="1"/>
  <c r="S423" i="1"/>
  <c r="S429" i="1"/>
  <c r="S433" i="1"/>
  <c r="S436" i="1"/>
  <c r="S432" i="1"/>
  <c r="S424" i="1"/>
  <c r="R398" i="1"/>
  <c r="S402" i="1"/>
  <c r="R403" i="1"/>
  <c r="S396" i="1"/>
  <c r="S405" i="1"/>
  <c r="S407" i="1"/>
  <c r="S412" i="1"/>
  <c r="S416" i="1"/>
  <c r="R389" i="1"/>
  <c r="S374" i="1"/>
  <c r="S378" i="1"/>
  <c r="S390" i="1"/>
  <c r="S372" i="1"/>
  <c r="S376" i="1"/>
  <c r="S384" i="1"/>
  <c r="S392" i="1"/>
  <c r="S379" i="1"/>
  <c r="S383" i="1"/>
  <c r="S387" i="1"/>
  <c r="R358" i="1"/>
  <c r="S356" i="1"/>
  <c r="S361" i="1"/>
  <c r="R364" i="1"/>
  <c r="S351" i="1"/>
  <c r="S359" i="1"/>
  <c r="S354" i="1"/>
  <c r="S347" i="1"/>
  <c r="S334" i="1"/>
  <c r="S338" i="1"/>
  <c r="S342" i="1"/>
  <c r="R318" i="1"/>
  <c r="S315" i="1"/>
  <c r="R322" i="1"/>
  <c r="S320" i="1"/>
  <c r="S324" i="1"/>
  <c r="S305" i="1"/>
  <c r="S299" i="1"/>
  <c r="R281" i="1"/>
  <c r="S276" i="1"/>
  <c r="S280" i="1"/>
  <c r="R278" i="1"/>
  <c r="R287" i="1"/>
  <c r="S275" i="1"/>
  <c r="S279" i="1"/>
  <c r="S283" i="1"/>
  <c r="S282" i="1"/>
  <c r="S286" i="1"/>
  <c r="S272" i="1"/>
  <c r="S277" i="1"/>
  <c r="S285" i="1"/>
  <c r="R259" i="1"/>
  <c r="S260" i="1"/>
  <c r="S264" i="1"/>
  <c r="S263" i="1"/>
  <c r="S267" i="1"/>
  <c r="S262" i="1"/>
  <c r="S266" i="1"/>
  <c r="S261" i="1"/>
  <c r="R254" i="1"/>
  <c r="S253" i="1"/>
  <c r="R252" i="1"/>
  <c r="S233" i="1"/>
  <c r="S241" i="1"/>
  <c r="S245" i="1"/>
  <c r="S249" i="1"/>
  <c r="S232" i="1"/>
  <c r="S236" i="1"/>
  <c r="S240" i="1"/>
  <c r="S244" i="1"/>
  <c r="S248" i="1"/>
  <c r="S243" i="1"/>
  <c r="S247" i="1"/>
  <c r="S251" i="1"/>
  <c r="S238" i="1"/>
  <c r="S242" i="1"/>
  <c r="S246" i="1"/>
  <c r="S250" i="1"/>
  <c r="K291" i="1"/>
  <c r="S219" i="1"/>
  <c r="S223" i="1"/>
  <c r="S218" i="1"/>
  <c r="S226" i="1"/>
  <c r="S221" i="1"/>
  <c r="S225" i="1"/>
  <c r="S220" i="1"/>
  <c r="S224" i="1"/>
  <c r="S211" i="1"/>
  <c r="S209" i="1"/>
  <c r="S205" i="1"/>
  <c r="S201" i="1"/>
  <c r="S190" i="1"/>
  <c r="E193" i="1"/>
  <c r="S193" i="1" s="1"/>
  <c r="S186" i="1"/>
  <c r="R133" i="1"/>
  <c r="R119" i="1"/>
  <c r="R161" i="1"/>
  <c r="S121" i="1"/>
  <c r="S125" i="1"/>
  <c r="S129" i="1"/>
  <c r="S137" i="1"/>
  <c r="S141" i="1"/>
  <c r="S145" i="1"/>
  <c r="S149" i="1"/>
  <c r="S154" i="1"/>
  <c r="S165" i="1"/>
  <c r="S170" i="1"/>
  <c r="R152" i="1"/>
  <c r="S120" i="1"/>
  <c r="S124" i="1"/>
  <c r="S128" i="1"/>
  <c r="S132" i="1"/>
  <c r="S136" i="1"/>
  <c r="S140" i="1"/>
  <c r="S144" i="1"/>
  <c r="S148" i="1"/>
  <c r="S164" i="1"/>
  <c r="S169" i="1"/>
  <c r="S123" i="1"/>
  <c r="S127" i="1"/>
  <c r="S131" i="1"/>
  <c r="S135" i="1"/>
  <c r="S139" i="1"/>
  <c r="S143" i="1"/>
  <c r="S147" i="1"/>
  <c r="S151" i="1"/>
  <c r="S156" i="1"/>
  <c r="S163" i="1"/>
  <c r="S168" i="1"/>
  <c r="S172" i="1"/>
  <c r="S118" i="1"/>
  <c r="S122" i="1"/>
  <c r="S126" i="1"/>
  <c r="S134" i="1"/>
  <c r="S142" i="1"/>
  <c r="S146" i="1"/>
  <c r="S150" i="1"/>
  <c r="S155" i="1"/>
  <c r="S162" i="1"/>
  <c r="S167" i="1"/>
  <c r="S171" i="1"/>
  <c r="R93" i="1"/>
  <c r="S75" i="1"/>
  <c r="S79" i="1"/>
  <c r="S83" i="1"/>
  <c r="S91" i="1"/>
  <c r="S95" i="1"/>
  <c r="S99" i="1"/>
  <c r="S107" i="1"/>
  <c r="S111" i="1"/>
  <c r="R101" i="1"/>
  <c r="R77" i="1"/>
  <c r="S74" i="1"/>
  <c r="S78" i="1"/>
  <c r="S82" i="1"/>
  <c r="S86" i="1"/>
  <c r="S90" i="1"/>
  <c r="S94" i="1"/>
  <c r="S98" i="1"/>
  <c r="S102" i="1"/>
  <c r="S110" i="1"/>
  <c r="S73" i="1"/>
  <c r="S81" i="1"/>
  <c r="S85" i="1"/>
  <c r="S89" i="1"/>
  <c r="S97" i="1"/>
  <c r="S105" i="1"/>
  <c r="S109" i="1"/>
  <c r="R112" i="1"/>
  <c r="S76" i="1"/>
  <c r="S84" i="1"/>
  <c r="S88" i="1"/>
  <c r="S92" i="1"/>
  <c r="S96" i="1"/>
  <c r="S100" i="1"/>
  <c r="S108" i="1"/>
  <c r="S63" i="1"/>
  <c r="S62" i="1"/>
  <c r="R48" i="1"/>
  <c r="S46" i="1"/>
  <c r="S51" i="1"/>
  <c r="S55" i="1"/>
  <c r="S49" i="1"/>
  <c r="S54" i="1"/>
  <c r="S53" i="1"/>
  <c r="S47" i="1"/>
  <c r="S52" i="1"/>
  <c r="S36" i="1"/>
  <c r="S40" i="1"/>
  <c r="R38" i="1"/>
  <c r="S35" i="1"/>
  <c r="S39" i="1"/>
  <c r="R41" i="1"/>
  <c r="S37" i="1"/>
  <c r="S20" i="1"/>
  <c r="S19" i="1"/>
  <c r="G178" i="1"/>
  <c r="G291" i="1"/>
  <c r="E438" i="1"/>
  <c r="M291" i="1"/>
  <c r="E115" i="1"/>
  <c r="E289" i="1"/>
  <c r="K178" i="1"/>
  <c r="O30" i="1"/>
  <c r="Q291" i="1"/>
  <c r="E367" i="1"/>
  <c r="E65" i="1"/>
  <c r="S65" i="1" s="1"/>
  <c r="E301" i="1"/>
  <c r="R24" i="1"/>
  <c r="M178" i="1"/>
  <c r="O67" i="1"/>
  <c r="Q67" i="1"/>
  <c r="K30" i="1"/>
  <c r="E14" i="1"/>
  <c r="R158" i="1"/>
  <c r="O178" i="1"/>
  <c r="Q178" i="1"/>
  <c r="E418" i="1"/>
  <c r="S418" i="1" s="1"/>
  <c r="I269" i="1"/>
  <c r="E269" i="1" s="1"/>
  <c r="I329" i="1"/>
  <c r="K67" i="1"/>
  <c r="E329" i="1"/>
  <c r="S329" i="1" s="1"/>
  <c r="K418" i="1"/>
  <c r="M67" i="1"/>
  <c r="E22" i="1"/>
  <c r="O291" i="1"/>
  <c r="R458" i="1"/>
  <c r="R314" i="1"/>
  <c r="R371" i="1"/>
  <c r="E175" i="1"/>
  <c r="S175" i="1" s="1"/>
  <c r="E256" i="1"/>
  <c r="S256" i="1" s="1"/>
  <c r="I30" i="1"/>
  <c r="E59" i="1"/>
  <c r="M464" i="1" l="1"/>
  <c r="M471" i="1" s="1"/>
  <c r="M472" i="1" s="1"/>
  <c r="K464" i="1"/>
  <c r="Q464" i="1"/>
  <c r="Q471" i="1" s="1"/>
  <c r="Q472" i="1" s="1"/>
  <c r="O464" i="1"/>
  <c r="O471" i="1" s="1"/>
  <c r="O472" i="1" s="1"/>
  <c r="G464" i="1"/>
  <c r="G471" i="1" s="1"/>
  <c r="G472" i="1" s="1"/>
  <c r="K471" i="1"/>
  <c r="K472" i="1" s="1"/>
  <c r="R452" i="1"/>
  <c r="E454" i="1"/>
  <c r="R213" i="1"/>
  <c r="S229" i="1"/>
  <c r="S43" i="1"/>
  <c r="R14" i="1"/>
  <c r="S14" i="1"/>
  <c r="R462" i="1"/>
  <c r="S462" i="1"/>
  <c r="R438" i="1"/>
  <c r="S438" i="1"/>
  <c r="R367" i="1"/>
  <c r="S367" i="1"/>
  <c r="R301" i="1"/>
  <c r="S301" i="1"/>
  <c r="R289" i="1"/>
  <c r="S289" i="1"/>
  <c r="R269" i="1"/>
  <c r="S269" i="1"/>
  <c r="I291" i="1"/>
  <c r="I464" i="1" s="1"/>
  <c r="R193" i="1"/>
  <c r="R115" i="1"/>
  <c r="S115" i="1"/>
  <c r="R65" i="1"/>
  <c r="R59" i="1"/>
  <c r="S59" i="1"/>
  <c r="R22" i="1"/>
  <c r="S22" i="1"/>
  <c r="R418" i="1"/>
  <c r="E30" i="1"/>
  <c r="R329" i="1"/>
  <c r="E67" i="1"/>
  <c r="E178" i="1"/>
  <c r="R175" i="1"/>
  <c r="E291" i="1"/>
  <c r="R256" i="1"/>
  <c r="E464" i="1" l="1"/>
  <c r="I471" i="1"/>
  <c r="I472" i="1" s="1"/>
  <c r="R454" i="1"/>
  <c r="S454" i="1"/>
  <c r="R291" i="1"/>
  <c r="S291" i="1"/>
  <c r="R178" i="1"/>
  <c r="S178" i="1"/>
  <c r="R67" i="1"/>
  <c r="S67" i="1"/>
  <c r="R30" i="1"/>
  <c r="S30" i="1"/>
  <c r="E471" i="1" l="1"/>
  <c r="E472" i="1" s="1"/>
  <c r="S464" i="1"/>
  <c r="R464" i="1"/>
  <c r="R466" i="1" l="1"/>
  <c r="S466" i="1"/>
  <c r="R471" i="1"/>
  <c r="S471" i="1"/>
</calcChain>
</file>

<file path=xl/sharedStrings.xml><?xml version="1.0" encoding="utf-8"?>
<sst xmlns="http://schemas.openxmlformats.org/spreadsheetml/2006/main" count="418" uniqueCount="305">
  <si>
    <t>Current Funds</t>
  </si>
  <si>
    <t>Distribution</t>
  </si>
  <si>
    <t>Total</t>
  </si>
  <si>
    <t>Unrestricted</t>
  </si>
  <si>
    <t>Restricted</t>
  </si>
  <si>
    <t xml:space="preserve"> Salaries and Wages</t>
  </si>
  <si>
    <t>Other Expenditures</t>
  </si>
  <si>
    <t>Less: Transfers</t>
  </si>
  <si>
    <t xml:space="preserve"> General</t>
  </si>
  <si>
    <t>Designated</t>
  </si>
  <si>
    <t>COLLEGE OF CREATIVE STUDIES</t>
  </si>
  <si>
    <t>INSTRUCTION</t>
  </si>
  <si>
    <t>Education</t>
  </si>
  <si>
    <t>Supervised teaching</t>
  </si>
  <si>
    <t>RESEARCH</t>
  </si>
  <si>
    <t>ACADEMIC SUPPORT</t>
  </si>
  <si>
    <t>Dean's office</t>
  </si>
  <si>
    <t>Total Graduate School of</t>
  </si>
  <si>
    <t xml:space="preserve"> Education</t>
  </si>
  <si>
    <t xml:space="preserve"> </t>
  </si>
  <si>
    <t>Chemical engineering</t>
  </si>
  <si>
    <t>Computer science</t>
  </si>
  <si>
    <t xml:space="preserve">Electrical and computer </t>
  </si>
  <si>
    <t>Interdisciplinary-engineering</t>
  </si>
  <si>
    <t>Materials for engineering</t>
  </si>
  <si>
    <t>Mechanical and environmental</t>
  </si>
  <si>
    <t>Dean's program</t>
  </si>
  <si>
    <t>Materials lab</t>
  </si>
  <si>
    <t>Engineering machine shop</t>
  </si>
  <si>
    <t>Total College of Engineering</t>
  </si>
  <si>
    <t xml:space="preserve">COLLEGE OF LETTERS AND </t>
  </si>
  <si>
    <t>SCIENCE</t>
  </si>
  <si>
    <t>Anthropology</t>
  </si>
  <si>
    <t>Art history</t>
  </si>
  <si>
    <t>Art studio</t>
  </si>
  <si>
    <t>Asian american studies</t>
  </si>
  <si>
    <t>Biological sciences</t>
  </si>
  <si>
    <t>Black studies</t>
  </si>
  <si>
    <t>Chemistry</t>
  </si>
  <si>
    <t>Chicano studies</t>
  </si>
  <si>
    <t>Classics</t>
  </si>
  <si>
    <t>Dramatic art</t>
  </si>
  <si>
    <t>East asian studies</t>
  </si>
  <si>
    <t>Economics</t>
  </si>
  <si>
    <t>English</t>
  </si>
  <si>
    <t>Environmental studies program</t>
  </si>
  <si>
    <t>Film studies program</t>
  </si>
  <si>
    <t>French and italian</t>
  </si>
  <si>
    <t>Geography</t>
  </si>
  <si>
    <t>Geological sciences</t>
  </si>
  <si>
    <t>Germanic and slavic and</t>
  </si>
  <si>
    <t>semitic studies</t>
  </si>
  <si>
    <t>History</t>
  </si>
  <si>
    <t xml:space="preserve">Humanities </t>
  </si>
  <si>
    <t>Law and society program</t>
  </si>
  <si>
    <t>Linguistics</t>
  </si>
  <si>
    <t>Mathematics</t>
  </si>
  <si>
    <t>Military science</t>
  </si>
  <si>
    <t>Music</t>
  </si>
  <si>
    <t>Philosophy</t>
  </si>
  <si>
    <t xml:space="preserve">Physics </t>
  </si>
  <si>
    <t>Political science</t>
  </si>
  <si>
    <t>Psychology</t>
  </si>
  <si>
    <t>Religious studies</t>
  </si>
  <si>
    <t>Sociology</t>
  </si>
  <si>
    <t>Spanish and portuguese</t>
  </si>
  <si>
    <t xml:space="preserve">Statistics </t>
  </si>
  <si>
    <t>Washington DC program</t>
  </si>
  <si>
    <t>Writing program</t>
  </si>
  <si>
    <t>Art museum</t>
  </si>
  <si>
    <t>Humanities</t>
  </si>
  <si>
    <t>Physics</t>
  </si>
  <si>
    <t>Provost programs</t>
  </si>
  <si>
    <t>Chemistry x-ray crystallography</t>
  </si>
  <si>
    <t>Life science computing</t>
  </si>
  <si>
    <t>Music-concert tours</t>
  </si>
  <si>
    <t>Physics-stores</t>
  </si>
  <si>
    <t>Physics-support services</t>
  </si>
  <si>
    <t>Social science computing</t>
  </si>
  <si>
    <t>Social science projects</t>
  </si>
  <si>
    <t>Vivarium</t>
  </si>
  <si>
    <t xml:space="preserve"> Science</t>
  </si>
  <si>
    <t>SCIENCE AND MANAGEMENT</t>
  </si>
  <si>
    <t xml:space="preserve">     Science and Management</t>
  </si>
  <si>
    <t>GRADUATE DIVISION</t>
  </si>
  <si>
    <t>Total Graduate Division</t>
  </si>
  <si>
    <t>SUMMER SESSION</t>
  </si>
  <si>
    <t>UNIVERSITY EXTENSION</t>
  </si>
  <si>
    <t>Continuing education</t>
  </si>
  <si>
    <t>Professional programs</t>
  </si>
  <si>
    <t>General programs</t>
  </si>
  <si>
    <t>Total University Extension</t>
  </si>
  <si>
    <t>CAMPUS-WIDE PROGRAMS</t>
  </si>
  <si>
    <t>Natural land/water reserve</t>
  </si>
  <si>
    <t>Off campus studies</t>
  </si>
  <si>
    <t>Physical activities program</t>
  </si>
  <si>
    <t xml:space="preserve">Regents professorships and </t>
  </si>
  <si>
    <t>lectureships</t>
  </si>
  <si>
    <t>Valentine eastern sierra reserve</t>
  </si>
  <si>
    <t>Ventura learning center</t>
  </si>
  <si>
    <t>Compensated absences accrual</t>
  </si>
  <si>
    <t>Educational fee expense proration</t>
  </si>
  <si>
    <t>Center for chicano studies</t>
  </si>
  <si>
    <t>Institute for social behavioral</t>
  </si>
  <si>
    <t>economic research</t>
  </si>
  <si>
    <t>Institute for computational</t>
  </si>
  <si>
    <t>earth systems science</t>
  </si>
  <si>
    <t>Institute for crustal studies</t>
  </si>
  <si>
    <t>Neuroscience research institute</t>
  </si>
  <si>
    <t>Institute for theoretical physics</t>
  </si>
  <si>
    <t>Marine science institute</t>
  </si>
  <si>
    <t>Research development</t>
  </si>
  <si>
    <t>Research travel</t>
  </si>
  <si>
    <t>PUBLIC SERVICE</t>
  </si>
  <si>
    <t>Art exhibits</t>
  </si>
  <si>
    <t>Arts and lectures</t>
  </si>
  <si>
    <t>Community college program</t>
  </si>
  <si>
    <t>Community service projects</t>
  </si>
  <si>
    <t>Work study program-contracting</t>
  </si>
  <si>
    <t>agencies</t>
  </si>
  <si>
    <t>Academic administration</t>
  </si>
  <si>
    <t>Dean-instructional development</t>
  </si>
  <si>
    <t>Dean-off campus studies</t>
  </si>
  <si>
    <t>Education abroad program</t>
  </si>
  <si>
    <t>Hazardous materials program</t>
  </si>
  <si>
    <t xml:space="preserve">Instructional evaluation </t>
  </si>
  <si>
    <t xml:space="preserve">Instructional resources </t>
  </si>
  <si>
    <t xml:space="preserve">Libraries </t>
  </si>
  <si>
    <t xml:space="preserve">Undergraduate instructional </t>
  </si>
  <si>
    <t>improvement</t>
  </si>
  <si>
    <t>STUDENT SERVICES</t>
  </si>
  <si>
    <t>Vice chancellor-student services</t>
  </si>
  <si>
    <t>Associated students</t>
  </si>
  <si>
    <t>Center for academic enrichment</t>
  </si>
  <si>
    <t xml:space="preserve">Community housing </t>
  </si>
  <si>
    <t>Counseling center</t>
  </si>
  <si>
    <t>Dean of students</t>
  </si>
  <si>
    <t>Disabled students program</t>
  </si>
  <si>
    <t>Events facility PPD costs</t>
  </si>
  <si>
    <t>Financial aid office</t>
  </si>
  <si>
    <t>Intercollegiate athletics</t>
  </si>
  <si>
    <t xml:space="preserve">Off campus studies-student </t>
  </si>
  <si>
    <t>services</t>
  </si>
  <si>
    <t>Office of educational opportunity</t>
  </si>
  <si>
    <t>Office of international students</t>
  </si>
  <si>
    <t>Public events</t>
  </si>
  <si>
    <t>Recreation programs</t>
  </si>
  <si>
    <t>Registrar's office</t>
  </si>
  <si>
    <t>Student activities-</t>
  </si>
  <si>
    <t>Alumni Affairs</t>
  </si>
  <si>
    <t>Ombudsman</t>
  </si>
  <si>
    <t>Publications</t>
  </si>
  <si>
    <t>Student affairs</t>
  </si>
  <si>
    <t>Student health service</t>
  </si>
  <si>
    <t>Undergraduate admissions office</t>
  </si>
  <si>
    <t>Women's center</t>
  </si>
  <si>
    <t>Student fee advisory committee</t>
  </si>
  <si>
    <t>Total Student Services</t>
  </si>
  <si>
    <t>INSTITUTIONAL SUPPORT</t>
  </si>
  <si>
    <t>Chancellor's office</t>
  </si>
  <si>
    <t>Vice chancellor-administrative</t>
  </si>
  <si>
    <t>Vice chancellor-institutional</t>
  </si>
  <si>
    <t>advancement</t>
  </si>
  <si>
    <t>Academic personnel</t>
  </si>
  <si>
    <t>Academic senate secretariat</t>
  </si>
  <si>
    <t>Administrative travel</t>
  </si>
  <si>
    <t>Alumni affairs office</t>
  </si>
  <si>
    <t>Architects and engineers</t>
  </si>
  <si>
    <t>Billing-accounts receivable office</t>
  </si>
  <si>
    <t>Budget and planning office</t>
  </si>
  <si>
    <t>Mail and receiving</t>
  </si>
  <si>
    <t>Storehouse</t>
  </si>
  <si>
    <t>Transportation services</t>
  </si>
  <si>
    <t>Collections office</t>
  </si>
  <si>
    <t>Development</t>
  </si>
  <si>
    <t>Environmental health and safety</t>
  </si>
  <si>
    <t>Human resources</t>
  </si>
  <si>
    <t>Information systems and computing</t>
  </si>
  <si>
    <t xml:space="preserve">Communications </t>
  </si>
  <si>
    <t>Computing</t>
  </si>
  <si>
    <t xml:space="preserve">Information systems </t>
  </si>
  <si>
    <t>Office of research</t>
  </si>
  <si>
    <t>Police</t>
  </si>
  <si>
    <t>Public information and publications</t>
  </si>
  <si>
    <t>Purchasing</t>
  </si>
  <si>
    <t xml:space="preserve">Insurance </t>
  </si>
  <si>
    <t>Miscellaneous employee benefits</t>
  </si>
  <si>
    <t>Total Institutional Support</t>
  </si>
  <si>
    <t>OPERATION AND MAINTENANCE OF</t>
  </si>
  <si>
    <t>PLANT</t>
  </si>
  <si>
    <t>Administration</t>
  </si>
  <si>
    <t>Building maintenance</t>
  </si>
  <si>
    <t>Grounds maintenance</t>
  </si>
  <si>
    <t>Janitorial service</t>
  </si>
  <si>
    <t>Plant service</t>
  </si>
  <si>
    <t>Refuse disposal</t>
  </si>
  <si>
    <t>Utilities</t>
  </si>
  <si>
    <t>Major repairs and alterations</t>
  </si>
  <si>
    <t>Total Operation and</t>
  </si>
  <si>
    <t xml:space="preserve"> Maintenance of Plant</t>
  </si>
  <si>
    <t>STUDENT FINANCIAL AID</t>
  </si>
  <si>
    <t>AUXILIARY ENTERPRISES</t>
  </si>
  <si>
    <t>RESIDENCE AND DINING HALLS</t>
  </si>
  <si>
    <t>Residential apartments unit I</t>
  </si>
  <si>
    <t>Residential apartments unit II</t>
  </si>
  <si>
    <t>Residence halls unit I</t>
  </si>
  <si>
    <t>Residence halls unit II</t>
  </si>
  <si>
    <t>Residence halls unit III</t>
  </si>
  <si>
    <t>San miguel hall</t>
  </si>
  <si>
    <t>San nicolas hall</t>
  </si>
  <si>
    <t>El dorado west apartments</t>
  </si>
  <si>
    <t>Westgate apartments</t>
  </si>
  <si>
    <t>OTHER</t>
  </si>
  <si>
    <t>Auxiliary enterprise administration</t>
  </si>
  <si>
    <t>Child care center</t>
  </si>
  <si>
    <t>Fenita and devereux</t>
  </si>
  <si>
    <t>Parking operations</t>
  </si>
  <si>
    <t>University center</t>
  </si>
  <si>
    <t>Total Auxiliary Enterprises</t>
  </si>
  <si>
    <t>Cliff house</t>
  </si>
  <si>
    <t xml:space="preserve">Total Current Funds Expenditures </t>
  </si>
  <si>
    <t xml:space="preserve">Controller </t>
  </si>
  <si>
    <t>BREN SCHOOL OF ENVIRONMENTAL</t>
  </si>
  <si>
    <t>Office of information technology</t>
  </si>
  <si>
    <t>Business services office</t>
  </si>
  <si>
    <t>Cashiers office</t>
  </si>
  <si>
    <t xml:space="preserve">Women's studies program </t>
  </si>
  <si>
    <t xml:space="preserve">Provost's office </t>
  </si>
  <si>
    <t xml:space="preserve">Executive vice chancellor's office </t>
  </si>
  <si>
    <t xml:space="preserve">Total Bren School of Environmental </t>
  </si>
  <si>
    <t>Total Campus-Wide Programs</t>
  </si>
  <si>
    <t>University house maintenance</t>
  </si>
  <si>
    <t>Biological science-stores</t>
  </si>
  <si>
    <t>Total Student Financial Aid</t>
  </si>
  <si>
    <t>Scholarship Allowance</t>
  </si>
  <si>
    <t>Eliminated Capital Expenditures</t>
  </si>
  <si>
    <t>Audit services</t>
  </si>
  <si>
    <t>Instructional computing</t>
  </si>
  <si>
    <t>Mitsubishi center</t>
  </si>
  <si>
    <t>Dramatic Arts - production</t>
  </si>
  <si>
    <t>`</t>
  </si>
  <si>
    <t>Library research</t>
  </si>
  <si>
    <t>Accounting services</t>
  </si>
  <si>
    <t>Manzanita</t>
  </si>
  <si>
    <t>Academic support - public affairs</t>
  </si>
  <si>
    <t>Residential communications</t>
  </si>
  <si>
    <t>Materials solid state</t>
  </si>
  <si>
    <t>Linguistic minority research institute</t>
  </si>
  <si>
    <t>PWC audit expense</t>
  </si>
  <si>
    <t>West campus point</t>
  </si>
  <si>
    <t>North campus</t>
  </si>
  <si>
    <t>Library copy services</t>
  </si>
  <si>
    <t>Germanic and slavic studies</t>
  </si>
  <si>
    <t>Academic development</t>
  </si>
  <si>
    <t>Daily Nexus</t>
  </si>
  <si>
    <t>La Cumbre Yearbook</t>
  </si>
  <si>
    <t>Subtotal</t>
  </si>
  <si>
    <t xml:space="preserve">CALIFORNIA NANO SYSTEMS INSTITUTE  </t>
  </si>
  <si>
    <t>Executive vice chancellor program</t>
  </si>
  <si>
    <t>support</t>
  </si>
  <si>
    <t xml:space="preserve">COLLEGE OF ENGINEERING  </t>
  </si>
  <si>
    <t>Center for film tv</t>
  </si>
  <si>
    <t>Institute terahertz science &amp; tech</t>
  </si>
  <si>
    <t>San clemente</t>
  </si>
  <si>
    <t>Santa ynez apartments</t>
  </si>
  <si>
    <t>Total College of Creative Studies</t>
  </si>
  <si>
    <t>GRADUATE SCHOOL OF EDUCATION</t>
  </si>
  <si>
    <t>Interdisc Engr Res</t>
  </si>
  <si>
    <t xml:space="preserve">Communication </t>
  </si>
  <si>
    <t>Molecular Biology</t>
  </si>
  <si>
    <t>Speech &amp; Hearing</t>
  </si>
  <si>
    <t>Feminist studies</t>
  </si>
  <si>
    <t>ACADEMIC ADMINISTRATION</t>
  </si>
  <si>
    <t>Ventura center</t>
  </si>
  <si>
    <t>Outreach programs</t>
  </si>
  <si>
    <t>Economic forecast project</t>
  </si>
  <si>
    <t>Institute energy efficiency</t>
  </si>
  <si>
    <t>Faculty career development</t>
  </si>
  <si>
    <t>Earth research institute</t>
  </si>
  <si>
    <t>Institute for energy efficiency</t>
  </si>
  <si>
    <t>Micro computer lab</t>
  </si>
  <si>
    <t>Multicultural center</t>
  </si>
  <si>
    <t>Health and safety</t>
  </si>
  <si>
    <t>Educational fee proration</t>
  </si>
  <si>
    <t xml:space="preserve">Subtotal College of Letters and </t>
  </si>
  <si>
    <t>Center for black studies</t>
  </si>
  <si>
    <t>ISLA VISTA-ADMINISTRATION</t>
  </si>
  <si>
    <t>Research-academic</t>
  </si>
  <si>
    <t>Computer center</t>
  </si>
  <si>
    <t>Campus NSFAS support</t>
  </si>
  <si>
    <t>FUNDING STREAM ASSESSMENT</t>
  </si>
  <si>
    <t>Technology management</t>
  </si>
  <si>
    <t>Institute of energy efficiency</t>
  </si>
  <si>
    <t>Humanities center</t>
  </si>
  <si>
    <t>Speech</t>
  </si>
  <si>
    <t>BIOENGINEERING</t>
  </si>
  <si>
    <t>Academic program review</t>
  </si>
  <si>
    <t>Building program</t>
  </si>
  <si>
    <t>Deferred maintenance</t>
  </si>
  <si>
    <t>UCEN expansion</t>
  </si>
  <si>
    <t>Project management</t>
  </si>
  <si>
    <t>Inventory</t>
  </si>
  <si>
    <t>Lodging maintenance</t>
  </si>
  <si>
    <t>PROV-L&amp;S ACAD STAFF</t>
  </si>
  <si>
    <t>Hand posted journal 19-110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</si>
</sst>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,_);_(* \(#,##0,\);_(* &quot;-&quot;_);_(@_)"/>
    <numFmt numFmtId="165" formatCode="_(&quot;$&quot;* #,##0,_);_(&quot;$&quot;* \(#,##0,\);_(&quot;$&quot;* &quot;-&quot;_);_(@_)"/>
    <numFmt numFmtId="166" formatCode="_(* #,##0_);_(* \(#,##0\);_(* &quot;-&quot;??_);_(@_)"/>
    <numFmt numFmtId="167" formatCode="_(* #,##0.0000,_);_(* \(#,##0.0000,\);_(* &quot;-&quot;_);_(@_)"/>
    <numFmt numFmtId="168" formatCode="_(* #,##0.00000,_);_(* \(#,##0.00000,\);_(* &quot;-&quot;_);_(@_)"/>
    <numFmt numFmtId="169" formatCode="_(* #,##0.000000,_);_(* \(#,##0.000000,\);_(* &quot;-&quot;_);_(@_)"/>
    <numFmt numFmtId="170" formatCode="#,##0.0_);\(#,##0.0\)"/>
    <numFmt numFmtId="171" formatCode="_(* #,##0.0000000,_);_(* \(#,##0.0000000,\);_(* &quot;-&quot;_);_(@_)"/>
  </numFmts>
  <fonts count="13" x14ac:knownFonts="1">
    <font>
      <sz val="10"/>
      <name val="Courier"/>
    </font>
    <font>
      <sz val="10"/>
      <name val="Times New Roman"/>
      <family val="1"/>
    </font>
    <font>
      <sz val="10"/>
      <color indexed="1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sz val="10"/>
      <color rgb="FF050897"/>
      <name val="Times New Roman"/>
      <family val="1"/>
    </font>
    <font>
      <sz val="8"/>
      <name val="Times New Roman"/>
      <family val="1"/>
    </font>
    <font>
      <sz val="10"/>
      <color rgb="FF0070C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0">
    <xf numFmtId="37" fontId="0" fillId="0" borderId="0"/>
    <xf numFmtId="164" fontId="2" fillId="0" borderId="0" applyNumberFormat="0" applyFill="0" applyBorder="0" applyAlignment="0">
      <protection locked="0"/>
    </xf>
    <xf numFmtId="164" fontId="2" fillId="0" borderId="0" applyFill="0" applyBorder="0" applyAlignment="0">
      <protection locked="0"/>
    </xf>
    <xf numFmtId="164" fontId="2" fillId="0" borderId="0" applyFill="0" applyBorder="0" applyAlignment="0">
      <protection locked="0"/>
    </xf>
    <xf numFmtId="43" fontId="3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NumberFormat="0" applyFill="0" applyBorder="0" applyAlignment="0"/>
    <xf numFmtId="164" fontId="1" fillId="0" borderId="0" applyFill="0" applyBorder="0" applyAlignment="0"/>
    <xf numFmtId="164" fontId="1" fillId="0" borderId="0" applyFill="0" applyBorder="0" applyAlignment="0"/>
  </cellStyleXfs>
  <cellXfs count="96">
    <xf numFmtId="37" fontId="0" fillId="0" borderId="0" xfId="0"/>
    <xf numFmtId="37" fontId="4" fillId="0" borderId="0" xfId="0" applyNumberFormat="1" applyFont="1" applyFill="1" applyAlignment="1" applyProtection="1">
      <alignment horizontal="left"/>
    </xf>
    <xf numFmtId="37" fontId="5" fillId="0" borderId="0" xfId="0" applyNumberFormat="1" applyFont="1" applyFill="1" applyAlignment="1" applyProtection="1">
      <alignment horizontal="left"/>
    </xf>
    <xf numFmtId="37" fontId="7" fillId="0" borderId="0" xfId="0" applyNumberFormat="1" applyFont="1" applyFill="1" applyAlignment="1" applyProtection="1">
      <alignment horizontal="left"/>
    </xf>
    <xf numFmtId="37" fontId="6" fillId="0" borderId="0" xfId="0" applyNumberFormat="1" applyFont="1" applyFill="1" applyAlignment="1" applyProtection="1">
      <alignment horizontal="left"/>
    </xf>
    <xf numFmtId="37" fontId="4" fillId="0" borderId="0" xfId="0" applyFont="1" applyFill="1"/>
    <xf numFmtId="164" fontId="4" fillId="0" borderId="1" xfId="0" applyNumberFormat="1" applyFont="1" applyFill="1" applyBorder="1" applyAlignment="1" applyProtection="1">
      <alignment horizontal="right"/>
    </xf>
    <xf numFmtId="166" fontId="4" fillId="0" borderId="0" xfId="4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37" fontId="4" fillId="0" borderId="2" xfId="0" applyFont="1" applyFill="1" applyBorder="1" applyAlignment="1">
      <alignment horizontal="right"/>
    </xf>
    <xf numFmtId="164" fontId="4" fillId="0" borderId="2" xfId="0" applyNumberFormat="1" applyFont="1" applyFill="1" applyBorder="1" applyAlignment="1">
      <alignment horizontal="right"/>
    </xf>
    <xf numFmtId="166" fontId="4" fillId="0" borderId="2" xfId="4" applyNumberFormat="1" applyFont="1" applyFill="1" applyBorder="1" applyAlignment="1">
      <alignment horizontal="right"/>
    </xf>
    <xf numFmtId="164" fontId="4" fillId="0" borderId="3" xfId="0" applyNumberFormat="1" applyFont="1" applyFill="1" applyBorder="1" applyAlignment="1">
      <alignment horizontal="right"/>
    </xf>
    <xf numFmtId="164" fontId="4" fillId="0" borderId="3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 applyProtection="1">
      <alignment horizontal="right"/>
    </xf>
    <xf numFmtId="164" fontId="4" fillId="0" borderId="3" xfId="0" applyNumberFormat="1" applyFont="1" applyFill="1" applyBorder="1" applyAlignment="1">
      <alignment horizontal="right" vertical="center"/>
    </xf>
    <xf numFmtId="37" fontId="4" fillId="0" borderId="0" xfId="0" applyFont="1" applyFill="1" applyAlignment="1">
      <alignment horizontal="right"/>
    </xf>
    <xf numFmtId="37" fontId="4" fillId="0" borderId="0" xfId="0" applyFont="1" applyFill="1" applyAlignment="1">
      <alignment horizontal="right" wrapText="1"/>
    </xf>
    <xf numFmtId="164" fontId="4" fillId="0" borderId="1" xfId="0" applyNumberFormat="1" applyFont="1" applyFill="1" applyBorder="1" applyAlignment="1">
      <alignment horizontal="center" wrapText="1"/>
    </xf>
    <xf numFmtId="166" fontId="4" fillId="0" borderId="0" xfId="4" applyNumberFormat="1" applyFont="1" applyFill="1" applyAlignment="1">
      <alignment horizontal="right" wrapText="1"/>
    </xf>
    <xf numFmtId="164" fontId="4" fillId="0" borderId="1" xfId="0" applyNumberFormat="1" applyFont="1" applyFill="1" applyBorder="1" applyAlignment="1">
      <alignment horizontal="centerContinuous" wrapText="1"/>
    </xf>
    <xf numFmtId="164" fontId="4" fillId="0" borderId="0" xfId="0" applyNumberFormat="1" applyFont="1" applyFill="1" applyAlignment="1">
      <alignment horizontal="right" wrapText="1"/>
    </xf>
    <xf numFmtId="164" fontId="4" fillId="0" borderId="0" xfId="0" applyNumberFormat="1" applyFont="1" applyFill="1" applyAlignment="1">
      <alignment wrapText="1"/>
    </xf>
    <xf numFmtId="164" fontId="4" fillId="0" borderId="0" xfId="0" applyNumberFormat="1" applyFont="1" applyFill="1" applyAlignment="1">
      <alignment horizontal="center" wrapText="1"/>
    </xf>
    <xf numFmtId="164" fontId="4" fillId="0" borderId="1" xfId="7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horizontal="right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 applyProtection="1">
      <alignment horizontal="center" vertical="center"/>
    </xf>
    <xf numFmtId="164" fontId="4" fillId="0" borderId="0" xfId="0" applyNumberFormat="1" applyFont="1" applyFill="1" applyAlignment="1" applyProtection="1">
      <alignment horizontal="right"/>
    </xf>
    <xf numFmtId="37" fontId="8" fillId="0" borderId="0" xfId="0" applyNumberFormat="1" applyFont="1" applyFill="1" applyAlignment="1" applyProtection="1">
      <alignment horizontal="left"/>
    </xf>
    <xf numFmtId="37" fontId="8" fillId="0" borderId="0" xfId="0" applyFont="1" applyFill="1" applyAlignment="1">
      <alignment horizontal="right"/>
    </xf>
    <xf numFmtId="37" fontId="4" fillId="0" borderId="0" xfId="0" applyFont="1" applyFill="1" applyAlignment="1">
      <alignment horizontal="left"/>
    </xf>
    <xf numFmtId="164" fontId="4" fillId="0" borderId="0" xfId="0" applyNumberFormat="1" applyFont="1" applyFill="1" applyBorder="1" applyAlignment="1" applyProtection="1">
      <alignment horizontal="right"/>
    </xf>
    <xf numFmtId="164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/>
    <xf numFmtId="164" fontId="4" fillId="0" borderId="0" xfId="1" applyNumberFormat="1" applyFont="1" applyFill="1" applyAlignment="1">
      <alignment horizontal="right"/>
      <protection locked="0"/>
    </xf>
    <xf numFmtId="37" fontId="8" fillId="0" borderId="0" xfId="0" applyFont="1" applyFill="1" applyAlignment="1">
      <alignment horizontal="left"/>
    </xf>
    <xf numFmtId="164" fontId="4" fillId="0" borderId="0" xfId="1" applyNumberFormat="1" applyFont="1" applyFill="1" applyBorder="1" applyAlignment="1">
      <alignment horizontal="right"/>
      <protection locked="0"/>
    </xf>
    <xf numFmtId="166" fontId="4" fillId="0" borderId="0" xfId="4" applyNumberFormat="1" applyFont="1" applyFill="1" applyBorder="1" applyAlignment="1">
      <alignment horizontal="right"/>
    </xf>
    <xf numFmtId="164" fontId="4" fillId="0" borderId="0" xfId="1" applyNumberFormat="1" applyFont="1" applyFill="1">
      <protection locked="0"/>
    </xf>
    <xf numFmtId="37" fontId="8" fillId="0" borderId="0" xfId="0" applyFont="1" applyFill="1" applyBorder="1" applyAlignment="1">
      <alignment horizontal="left"/>
    </xf>
    <xf numFmtId="166" fontId="4" fillId="0" borderId="0" xfId="4" applyNumberFormat="1" applyFont="1" applyFill="1"/>
    <xf numFmtId="37" fontId="8" fillId="0" borderId="0" xfId="0" applyNumberFormat="1" applyFont="1" applyFill="1" applyBorder="1" applyAlignment="1" applyProtection="1">
      <alignment horizontal="left"/>
    </xf>
    <xf numFmtId="165" fontId="4" fillId="0" borderId="4" xfId="0" applyNumberFormat="1" applyFont="1" applyFill="1" applyBorder="1" applyAlignment="1" applyProtection="1">
      <alignment horizontal="right"/>
    </xf>
    <xf numFmtId="165" fontId="1" fillId="0" borderId="0" xfId="8" applyNumberFormat="1" applyFont="1" applyFill="1" applyBorder="1" applyAlignment="1" applyProtection="1">
      <protection locked="0"/>
    </xf>
    <xf numFmtId="165" fontId="1" fillId="0" borderId="0" xfId="8" applyNumberFormat="1" applyFont="1" applyFill="1" applyBorder="1" applyAlignment="1"/>
    <xf numFmtId="165" fontId="1" fillId="0" borderId="0" xfId="2" applyNumberFormat="1" applyFont="1" applyFill="1" applyBorder="1" applyAlignment="1">
      <protection locked="0"/>
    </xf>
    <xf numFmtId="164" fontId="1" fillId="0" borderId="0" xfId="9" applyFont="1" applyFill="1" applyBorder="1" applyAlignment="1"/>
    <xf numFmtId="165" fontId="1" fillId="0" borderId="0" xfId="9" applyNumberFormat="1" applyFont="1" applyFill="1" applyBorder="1" applyAlignment="1" applyProtection="1">
      <protection locked="0"/>
    </xf>
    <xf numFmtId="165" fontId="1" fillId="0" borderId="0" xfId="3" applyNumberFormat="1" applyFont="1" applyFill="1" applyBorder="1" applyAlignment="1">
      <protection locked="0"/>
    </xf>
    <xf numFmtId="164" fontId="1" fillId="0" borderId="0" xfId="3" applyNumberFormat="1" applyFont="1" applyFill="1" applyBorder="1" applyAlignment="1">
      <protection locked="0"/>
    </xf>
    <xf numFmtId="164" fontId="1" fillId="0" borderId="1" xfId="3" applyNumberFormat="1" applyFont="1" applyFill="1" applyBorder="1" applyAlignment="1">
      <protection locked="0"/>
    </xf>
    <xf numFmtId="164" fontId="1" fillId="0" borderId="1" xfId="9" applyFont="1" applyFill="1" applyBorder="1" applyAlignment="1"/>
    <xf numFmtId="37" fontId="1" fillId="0" borderId="0" xfId="0" applyNumberFormat="1" applyFont="1" applyFill="1" applyAlignment="1" applyProtection="1">
      <alignment horizontal="left"/>
    </xf>
    <xf numFmtId="37" fontId="9" fillId="0" borderId="0" xfId="0" applyFont="1" applyFill="1"/>
    <xf numFmtId="37" fontId="9" fillId="0" borderId="0" xfId="0" applyFont="1" applyFill="1" applyAlignment="1">
      <alignment horizontal="left"/>
    </xf>
    <xf numFmtId="37" fontId="9" fillId="0" borderId="0" xfId="0" applyNumberFormat="1" applyFont="1" applyFill="1" applyAlignment="1" applyProtection="1">
      <alignment horizontal="left"/>
    </xf>
    <xf numFmtId="166" fontId="9" fillId="0" borderId="0" xfId="4" applyNumberFormat="1" applyFont="1" applyFill="1" applyAlignment="1">
      <alignment horizontal="right"/>
    </xf>
    <xf numFmtId="164" fontId="9" fillId="0" borderId="0" xfId="3" applyNumberFormat="1" applyFont="1" applyFill="1" applyBorder="1" applyAlignment="1">
      <protection locked="0"/>
    </xf>
    <xf numFmtId="165" fontId="9" fillId="0" borderId="0" xfId="3" applyNumberFormat="1" applyFont="1" applyFill="1" applyBorder="1" applyAlignment="1">
      <protection locked="0"/>
    </xf>
    <xf numFmtId="164" fontId="9" fillId="0" borderId="0" xfId="9" applyFont="1" applyFill="1" applyBorder="1" applyAlignment="1"/>
    <xf numFmtId="37" fontId="9" fillId="0" borderId="0" xfId="0" applyFont="1" applyFill="1" applyAlignment="1">
      <alignment horizontal="right"/>
    </xf>
    <xf numFmtId="164" fontId="9" fillId="0" borderId="0" xfId="0" applyNumberFormat="1" applyFont="1" applyFill="1" applyBorder="1" applyAlignment="1" applyProtection="1">
      <alignment horizontal="right"/>
    </xf>
    <xf numFmtId="37" fontId="4" fillId="0" borderId="0" xfId="0" applyFont="1" applyFill="1" applyBorder="1"/>
    <xf numFmtId="37" fontId="4" fillId="0" borderId="0" xfId="0" applyFont="1" applyFill="1" applyBorder="1" applyAlignment="1">
      <alignment horizontal="left"/>
    </xf>
    <xf numFmtId="37" fontId="7" fillId="0" borderId="0" xfId="0" applyNumberFormat="1" applyFont="1" applyFill="1" applyBorder="1" applyAlignment="1" applyProtection="1">
      <alignment horizontal="left"/>
    </xf>
    <xf numFmtId="37" fontId="6" fillId="0" borderId="0" xfId="0" applyNumberFormat="1" applyFont="1" applyFill="1" applyBorder="1" applyAlignment="1" applyProtection="1">
      <alignment horizontal="left"/>
    </xf>
    <xf numFmtId="37" fontId="4" fillId="0" borderId="0" xfId="0" applyFont="1" applyFill="1" applyBorder="1" applyAlignment="1">
      <alignment horizontal="right"/>
    </xf>
    <xf numFmtId="0" fontId="4" fillId="0" borderId="0" xfId="0" applyNumberFormat="1" applyFont="1" applyFill="1" applyAlignment="1">
      <alignment horizontal="left"/>
    </xf>
    <xf numFmtId="164" fontId="1" fillId="2" borderId="0" xfId="9" applyFont="1" applyFill="1" applyBorder="1" applyAlignment="1"/>
    <xf numFmtId="1" fontId="9" fillId="0" borderId="0" xfId="0" applyNumberFormat="1" applyFont="1" applyFill="1" applyAlignment="1" applyProtection="1">
      <alignment horizontal="left"/>
    </xf>
    <xf numFmtId="37" fontId="1" fillId="0" borderId="0" xfId="0" applyFont="1" applyFill="1"/>
    <xf numFmtId="168" fontId="4" fillId="0" borderId="0" xfId="0" applyNumberFormat="1" applyFont="1" applyFill="1" applyAlignment="1">
      <alignment horizontal="right"/>
    </xf>
    <xf numFmtId="170" fontId="4" fillId="0" borderId="0" xfId="0" applyNumberFormat="1" applyFont="1" applyFill="1" applyAlignment="1">
      <alignment horizontal="right"/>
    </xf>
    <xf numFmtId="170" fontId="4" fillId="0" borderId="0" xfId="0" applyNumberFormat="1" applyFont="1" applyFill="1" applyAlignment="1">
      <alignment horizontal="right" wrapText="1"/>
    </xf>
    <xf numFmtId="170" fontId="1" fillId="0" borderId="0" xfId="3" applyNumberFormat="1" applyFont="1" applyFill="1" applyBorder="1" applyAlignment="1">
      <protection locked="0"/>
    </xf>
    <xf numFmtId="170" fontId="1" fillId="2" borderId="0" xfId="3" applyNumberFormat="1" applyFont="1" applyFill="1" applyBorder="1" applyAlignment="1">
      <protection locked="0"/>
    </xf>
    <xf numFmtId="170" fontId="9" fillId="0" borderId="0" xfId="0" applyNumberFormat="1" applyFont="1" applyFill="1" applyAlignment="1">
      <alignment horizontal="right"/>
    </xf>
    <xf numFmtId="168" fontId="4" fillId="0" borderId="0" xfId="0" applyNumberFormat="1" applyFont="1" applyFill="1" applyBorder="1" applyAlignment="1" applyProtection="1">
      <alignment horizontal="right"/>
    </xf>
    <xf numFmtId="164" fontId="4" fillId="0" borderId="3" xfId="0" applyNumberFormat="1" applyFont="1" applyFill="1" applyBorder="1" applyAlignment="1" applyProtection="1">
      <alignment horizontal="right" vertical="center"/>
    </xf>
    <xf numFmtId="164" fontId="4" fillId="0" borderId="1" xfId="0" applyNumberFormat="1" applyFont="1" applyFill="1" applyBorder="1" applyAlignment="1" applyProtection="1">
      <alignment horizontal="center" wrapText="1"/>
      <protection locked="0"/>
    </xf>
    <xf numFmtId="164" fontId="1" fillId="0" borderId="1" xfId="0" applyNumberFormat="1" applyFont="1" applyFill="1" applyBorder="1" applyAlignment="1" applyProtection="1">
      <alignment horizontal="right"/>
    </xf>
    <xf numFmtId="165" fontId="1" fillId="0" borderId="4" xfId="0" applyNumberFormat="1" applyFont="1" applyFill="1" applyBorder="1" applyAlignment="1" applyProtection="1">
      <alignment horizontal="right"/>
    </xf>
    <xf numFmtId="165" fontId="11" fillId="0" borderId="4" xfId="0" applyNumberFormat="1" applyFont="1" applyFill="1" applyBorder="1" applyAlignment="1" applyProtection="1">
      <alignment horizontal="right"/>
    </xf>
    <xf numFmtId="37" fontId="12" fillId="0" borderId="0" xfId="0" applyFont="1" applyFill="1" applyAlignment="1">
      <alignment horizontal="right"/>
    </xf>
    <xf numFmtId="164" fontId="12" fillId="0" borderId="0" xfId="0" applyNumberFormat="1" applyFont="1" applyFill="1" applyAlignment="1">
      <alignment horizontal="center"/>
    </xf>
    <xf numFmtId="171" fontId="12" fillId="0" borderId="0" xfId="0" applyNumberFormat="1" applyFont="1" applyFill="1" applyAlignment="1">
      <alignment horizontal="right"/>
    </xf>
    <xf numFmtId="166" fontId="12" fillId="0" borderId="0" xfId="4" applyNumberFormat="1" applyFont="1" applyFill="1" applyAlignment="1">
      <alignment horizontal="right"/>
    </xf>
    <xf numFmtId="168" fontId="12" fillId="0" borderId="0" xfId="0" applyNumberFormat="1" applyFont="1" applyFill="1" applyAlignment="1">
      <alignment horizontal="right"/>
    </xf>
    <xf numFmtId="164" fontId="12" fillId="0" borderId="0" xfId="0" applyNumberFormat="1" applyFont="1" applyFill="1" applyAlignment="1">
      <alignment horizontal="right"/>
    </xf>
    <xf numFmtId="169" fontId="12" fillId="0" borderId="0" xfId="0" applyNumberFormat="1" applyFont="1" applyFill="1" applyAlignment="1">
      <alignment horizontal="right"/>
    </xf>
    <xf numFmtId="167" fontId="12" fillId="0" borderId="0" xfId="0" applyNumberFormat="1" applyFont="1" applyFill="1" applyAlignment="1">
      <alignment horizontal="right"/>
    </xf>
    <xf numFmtId="170" fontId="12" fillId="0" borderId="0" xfId="0" applyNumberFormat="1" applyFont="1" applyFill="1" applyAlignment="1">
      <alignment horizontal="right"/>
    </xf>
    <xf numFmtId="49" fontId="10" fillId="0" borderId="0" xfId="8" applyNumberFormat="1" applyFont="1" applyFill="1" applyAlignment="1" applyProtection="1">
      <protection locked="0"/>
    </xf>
  </cellXfs>
  <cellStyles count="10">
    <cellStyle name="Campus-entered" xfId="1"/>
    <cellStyle name="Campus-entered 2" xfId="2"/>
    <cellStyle name="Campus-entered 3" xfId="3"/>
    <cellStyle name="Comma" xfId="4" builtinId="3"/>
    <cellStyle name="Normal" xfId="0" builtinId="0"/>
    <cellStyle name="Normal 2" xfId="5"/>
    <cellStyle name="Normal 3" xfId="6"/>
    <cellStyle name="Not-campus-entered" xfId="7"/>
    <cellStyle name="Not-campus-entered 2" xfId="8"/>
    <cellStyle name="Not-campus-entered 3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88"/>
  <sheetViews>
    <sheetView tabSelected="1" zoomScaleNormal="100" workbookViewId="0">
      <pane ySplit="4" topLeftCell="A451" activePane="bottomLeft" state="frozen"/>
      <selection pane="bottomLeft" activeCell="Q1" sqref="A1:Q471"/>
    </sheetView>
  </sheetViews>
  <sheetFormatPr defaultColWidth="8.88671875" defaultRowHeight="12.75" customHeight="1" x14ac:dyDescent="0.25"/>
  <cols>
    <col min="1" max="1" width="2.109375" style="16" customWidth="1"/>
    <col min="2" max="2" width="1" style="16" customWidth="1"/>
    <col min="3" max="3" width="1.109375" style="16" customWidth="1"/>
    <col min="4" max="4" width="29.21875" style="16" bestFit="1" customWidth="1"/>
    <col min="5" max="5" width="12.6640625" style="25" customWidth="1"/>
    <col min="6" max="6" width="0.88671875" style="7" customWidth="1"/>
    <col min="7" max="7" width="11.6640625" style="25" bestFit="1" customWidth="1"/>
    <col min="8" max="8" width="0.88671875" style="25" customWidth="1"/>
    <col min="9" max="9" width="10.6640625" style="25" customWidth="1"/>
    <col min="10" max="10" width="0.88671875" style="25" customWidth="1"/>
    <col min="11" max="11" width="11.6640625" style="25" bestFit="1" customWidth="1"/>
    <col min="12" max="12" width="0.77734375" style="25" customWidth="1"/>
    <col min="13" max="13" width="10.6640625" style="25" customWidth="1"/>
    <col min="14" max="14" width="0.88671875" style="25" customWidth="1"/>
    <col min="15" max="15" width="11.6640625" style="25" bestFit="1" customWidth="1"/>
    <col min="16" max="16" width="0.77734375" style="25" customWidth="1"/>
    <col min="17" max="17" width="10.6640625" style="25" customWidth="1"/>
    <col min="18" max="18" width="9.44140625" style="16" hidden="1" customWidth="1"/>
    <col min="19" max="19" width="9.44140625" style="75" customWidth="1"/>
    <col min="20" max="214" width="9.44140625" style="16" customWidth="1"/>
    <col min="215" max="16384" width="8.88671875" style="16"/>
  </cols>
  <sheetData>
    <row r="1" spans="1:19" ht="21.75" customHeight="1" x14ac:dyDescent="0.25">
      <c r="A1" s="9"/>
      <c r="B1" s="9"/>
      <c r="C1" s="9"/>
      <c r="D1" s="9"/>
      <c r="E1" s="10"/>
      <c r="F1" s="11"/>
      <c r="G1" s="12"/>
      <c r="H1" s="12"/>
      <c r="I1" s="13" t="s">
        <v>0</v>
      </c>
      <c r="J1" s="12"/>
      <c r="K1" s="14"/>
      <c r="L1" s="10"/>
      <c r="M1" s="15"/>
      <c r="N1" s="15"/>
      <c r="O1" s="15" t="s">
        <v>1</v>
      </c>
      <c r="P1" s="15"/>
      <c r="Q1" s="81"/>
    </row>
    <row r="2" spans="1:19" s="17" customFormat="1" ht="33" customHeight="1" x14ac:dyDescent="0.25">
      <c r="E2" s="18" t="s">
        <v>2</v>
      </c>
      <c r="F2" s="19"/>
      <c r="G2" s="20" t="s">
        <v>3</v>
      </c>
      <c r="H2" s="20"/>
      <c r="I2" s="20"/>
      <c r="J2" s="21"/>
      <c r="K2" s="18" t="s">
        <v>4</v>
      </c>
      <c r="L2" s="22"/>
      <c r="M2" s="18" t="s">
        <v>5</v>
      </c>
      <c r="N2" s="23"/>
      <c r="O2" s="24" t="s">
        <v>6</v>
      </c>
      <c r="P2" s="23"/>
      <c r="Q2" s="82" t="s">
        <v>7</v>
      </c>
      <c r="S2" s="76"/>
    </row>
    <row r="3" spans="1:19" ht="17.25" customHeight="1" x14ac:dyDescent="0.25">
      <c r="G3" s="26" t="s">
        <v>8</v>
      </c>
      <c r="H3" s="27"/>
      <c r="I3" s="26" t="s">
        <v>9</v>
      </c>
      <c r="J3" s="28"/>
      <c r="K3" s="29"/>
      <c r="Q3" s="30"/>
    </row>
    <row r="5" spans="1:19" ht="12.75" customHeight="1" x14ac:dyDescent="0.25">
      <c r="A5" s="31" t="s">
        <v>10</v>
      </c>
      <c r="B5" s="32"/>
    </row>
    <row r="6" spans="1:19" ht="12.75" customHeight="1" x14ac:dyDescent="0.25">
      <c r="A6" s="33"/>
    </row>
    <row r="7" spans="1:19" ht="12.75" customHeight="1" x14ac:dyDescent="0.25">
      <c r="A7" s="5"/>
      <c r="B7" s="1" t="s">
        <v>11</v>
      </c>
      <c r="E7" s="47">
        <f>G7+I7+K7</f>
        <v>2553617.16</v>
      </c>
      <c r="F7" s="46"/>
      <c r="G7" s="47">
        <v>2421741.8199999998</v>
      </c>
      <c r="H7" s="48"/>
      <c r="I7" s="47">
        <v>159.83000000000001</v>
      </c>
      <c r="J7" s="48"/>
      <c r="K7" s="47">
        <v>131715.51</v>
      </c>
      <c r="L7" s="48"/>
      <c r="M7" s="47">
        <v>1619069.02</v>
      </c>
      <c r="N7" s="48"/>
      <c r="O7" s="47">
        <v>933279.14</v>
      </c>
      <c r="P7" s="48"/>
      <c r="Q7" s="47">
        <v>-1269</v>
      </c>
      <c r="R7" s="49">
        <f>E7-M7-O7-Q7</f>
        <v>2538.0000000001164</v>
      </c>
      <c r="S7" s="77">
        <f>E7-M7-O7+Q7</f>
        <v>1.1641532182693481E-10</v>
      </c>
    </row>
    <row r="8" spans="1:19" ht="12.75" customHeight="1" x14ac:dyDescent="0.25">
      <c r="A8" s="1"/>
      <c r="E8" s="34"/>
      <c r="G8" s="35"/>
      <c r="I8" s="35"/>
      <c r="K8" s="35"/>
      <c r="M8" s="35"/>
      <c r="O8" s="35"/>
      <c r="Q8" s="35"/>
    </row>
    <row r="9" spans="1:19" ht="12.75" customHeight="1" x14ac:dyDescent="0.25">
      <c r="A9" s="1"/>
      <c r="B9" s="1" t="s">
        <v>14</v>
      </c>
      <c r="E9" s="49">
        <f>G9+I9+K9</f>
        <v>0</v>
      </c>
      <c r="F9" s="50"/>
      <c r="G9" s="52">
        <v>0</v>
      </c>
      <c r="H9" s="51"/>
      <c r="I9" s="52">
        <v>0</v>
      </c>
      <c r="J9" s="51"/>
      <c r="K9" s="52">
        <v>0</v>
      </c>
      <c r="L9" s="51"/>
      <c r="M9" s="52">
        <v>0</v>
      </c>
      <c r="N9" s="51"/>
      <c r="O9" s="52">
        <v>0</v>
      </c>
      <c r="P9" s="51"/>
      <c r="Q9" s="52">
        <v>0</v>
      </c>
      <c r="R9" s="49">
        <f>E9-M9-O9-Q9</f>
        <v>0</v>
      </c>
      <c r="S9" s="77">
        <f>E9-M9-O9+Q9</f>
        <v>0</v>
      </c>
    </row>
    <row r="10" spans="1:19" ht="12.75" customHeight="1" x14ac:dyDescent="0.25">
      <c r="A10" s="1"/>
      <c r="E10" s="34"/>
      <c r="G10" s="35"/>
      <c r="I10" s="35"/>
      <c r="K10" s="35"/>
      <c r="M10" s="35"/>
      <c r="O10" s="35"/>
      <c r="Q10" s="35"/>
    </row>
    <row r="11" spans="1:19" ht="12.75" customHeight="1" x14ac:dyDescent="0.25">
      <c r="A11" s="1"/>
      <c r="B11" s="1" t="s">
        <v>15</v>
      </c>
    </row>
    <row r="12" spans="1:19" ht="12.75" customHeight="1" x14ac:dyDescent="0.25">
      <c r="A12" s="1"/>
      <c r="B12" s="5"/>
      <c r="C12" s="1" t="s">
        <v>16</v>
      </c>
      <c r="D12" s="1"/>
      <c r="E12" s="6">
        <f>G12+I12+K12</f>
        <v>147828.81</v>
      </c>
      <c r="G12" s="53">
        <v>0</v>
      </c>
      <c r="H12" s="51"/>
      <c r="I12" s="53">
        <v>147828.81</v>
      </c>
      <c r="J12" s="51"/>
      <c r="K12" s="53">
        <v>0</v>
      </c>
      <c r="L12" s="51"/>
      <c r="M12" s="53">
        <v>99381</v>
      </c>
      <c r="N12" s="51"/>
      <c r="O12" s="53">
        <v>48447.81</v>
      </c>
      <c r="P12" s="51"/>
      <c r="Q12" s="53">
        <v>0</v>
      </c>
      <c r="R12" s="49">
        <f>E12-M12-O12-Q12</f>
        <v>0</v>
      </c>
      <c r="S12" s="77">
        <f>E12-M12-O12+Q12</f>
        <v>0</v>
      </c>
    </row>
    <row r="13" spans="1:19" ht="12.75" customHeight="1" x14ac:dyDescent="0.25">
      <c r="A13" s="1"/>
      <c r="B13" s="5"/>
    </row>
    <row r="14" spans="1:19" ht="12.75" customHeight="1" x14ac:dyDescent="0.25">
      <c r="A14" s="5"/>
      <c r="B14" s="5"/>
      <c r="C14" s="5"/>
      <c r="D14" s="55" t="s">
        <v>265</v>
      </c>
      <c r="E14" s="6">
        <f>SUM(E7:E12)</f>
        <v>2701445.97</v>
      </c>
      <c r="G14" s="6">
        <f>SUM(G7:G12)</f>
        <v>2421741.8199999998</v>
      </c>
      <c r="H14" s="36"/>
      <c r="I14" s="6">
        <f>SUM(I7:I12)</f>
        <v>147988.63999999998</v>
      </c>
      <c r="J14" s="36"/>
      <c r="K14" s="6">
        <f>SUM(K7:K12)</f>
        <v>131715.51</v>
      </c>
      <c r="L14" s="36"/>
      <c r="M14" s="6">
        <f>SUM(M7:M12)</f>
        <v>1718450.02</v>
      </c>
      <c r="N14" s="36"/>
      <c r="O14" s="6">
        <f>SUM(O7:O12)</f>
        <v>981726.95</v>
      </c>
      <c r="Q14" s="6">
        <f>SUM(Q7:Q12)</f>
        <v>-1269</v>
      </c>
      <c r="R14" s="49">
        <f>E14-M14-O14-Q14</f>
        <v>2538.0000000002328</v>
      </c>
      <c r="S14" s="77">
        <f>E14-M14-O14+Q14</f>
        <v>2.3283064365386963E-10</v>
      </c>
    </row>
    <row r="15" spans="1:19" ht="12.75" customHeight="1" x14ac:dyDescent="0.25">
      <c r="A15" s="33"/>
    </row>
    <row r="16" spans="1:19" ht="12.75" customHeight="1" x14ac:dyDescent="0.25">
      <c r="A16" s="31" t="s">
        <v>266</v>
      </c>
      <c r="B16" s="32"/>
    </row>
    <row r="17" spans="1:19" ht="12.75" customHeight="1" x14ac:dyDescent="0.25">
      <c r="A17" s="33"/>
      <c r="B17" s="38"/>
    </row>
    <row r="18" spans="1:19" ht="12.75" customHeight="1" x14ac:dyDescent="0.25">
      <c r="A18" s="5"/>
      <c r="B18" s="1" t="s">
        <v>11</v>
      </c>
    </row>
    <row r="19" spans="1:19" ht="12.75" customHeight="1" x14ac:dyDescent="0.25">
      <c r="A19" s="5"/>
      <c r="B19" s="5"/>
      <c r="C19" s="1" t="s">
        <v>12</v>
      </c>
      <c r="D19" s="1"/>
      <c r="E19" s="49">
        <f>G19+I19+K19</f>
        <v>10987155.75</v>
      </c>
      <c r="F19" s="50"/>
      <c r="G19" s="52">
        <v>9821799.4000000004</v>
      </c>
      <c r="H19" s="51"/>
      <c r="I19" s="52">
        <v>774110.48</v>
      </c>
      <c r="J19" s="51"/>
      <c r="K19" s="52">
        <v>391245.87</v>
      </c>
      <c r="L19" s="51"/>
      <c r="M19" s="52">
        <v>7350560.7999999998</v>
      </c>
      <c r="N19" s="51"/>
      <c r="O19" s="52">
        <v>3631382.95</v>
      </c>
      <c r="P19" s="51"/>
      <c r="Q19" s="52">
        <v>-5212</v>
      </c>
      <c r="R19" s="49">
        <f>E19-M19-O19-Q19</f>
        <v>10424</v>
      </c>
      <c r="S19" s="77">
        <f t="shared" ref="S19:S20" si="0">E19-M19-O19+Q19</f>
        <v>0</v>
      </c>
    </row>
    <row r="20" spans="1:19" ht="12.75" customHeight="1" x14ac:dyDescent="0.25">
      <c r="A20" s="5"/>
      <c r="B20" s="5"/>
      <c r="C20" s="1" t="s">
        <v>13</v>
      </c>
      <c r="D20" s="1"/>
      <c r="E20" s="6">
        <f>G20+I20+K20</f>
        <v>1851063.0899999999</v>
      </c>
      <c r="G20" s="53">
        <v>1703881.63</v>
      </c>
      <c r="H20" s="51"/>
      <c r="I20" s="53">
        <v>65197.5</v>
      </c>
      <c r="J20" s="51"/>
      <c r="K20" s="53">
        <v>81983.960000000006</v>
      </c>
      <c r="L20" s="51"/>
      <c r="M20" s="53">
        <v>1179753.3700000001</v>
      </c>
      <c r="N20" s="51"/>
      <c r="O20" s="53">
        <v>670809.72</v>
      </c>
      <c r="P20" s="51"/>
      <c r="Q20" s="53">
        <v>-500</v>
      </c>
      <c r="R20" s="49">
        <f>E20-M20-O20-Q20</f>
        <v>999.99999999976717</v>
      </c>
      <c r="S20" s="77">
        <f t="shared" si="0"/>
        <v>-2.3283064365386963E-10</v>
      </c>
    </row>
    <row r="21" spans="1:19" ht="12.75" customHeight="1" x14ac:dyDescent="0.25">
      <c r="A21" s="5"/>
      <c r="B21" s="33"/>
    </row>
    <row r="22" spans="1:19" ht="12.75" customHeight="1" x14ac:dyDescent="0.25">
      <c r="A22" s="5"/>
      <c r="B22" s="5"/>
      <c r="C22" s="5"/>
      <c r="D22" s="1" t="s">
        <v>2</v>
      </c>
      <c r="E22" s="6">
        <f>G22+I22+K22</f>
        <v>12838218.840000002</v>
      </c>
      <c r="G22" s="6">
        <f>SUM(G19:G21)</f>
        <v>11525681.030000001</v>
      </c>
      <c r="I22" s="6">
        <f>SUM(I19:I21)</f>
        <v>839307.98</v>
      </c>
      <c r="K22" s="6">
        <f>SUM(K19:K21)</f>
        <v>473229.83</v>
      </c>
      <c r="M22" s="6">
        <f>SUM(M19:M21)</f>
        <v>8530314.1699999999</v>
      </c>
      <c r="O22" s="6">
        <f>SUM(O19:O21)</f>
        <v>4302192.67</v>
      </c>
      <c r="Q22" s="6">
        <f>SUM(Q19:Q21)</f>
        <v>-5712</v>
      </c>
      <c r="R22" s="49">
        <f>E22-M22-O22-Q22</f>
        <v>11424.000000001863</v>
      </c>
      <c r="S22" s="77">
        <f>E22-M22-O22+Q22</f>
        <v>1.862645149230957E-9</v>
      </c>
    </row>
    <row r="23" spans="1:19" ht="12.75" customHeight="1" x14ac:dyDescent="0.25">
      <c r="A23" s="33"/>
    </row>
    <row r="24" spans="1:19" ht="12.75" customHeight="1" x14ac:dyDescent="0.25">
      <c r="A24" s="5"/>
      <c r="B24" s="1" t="s">
        <v>14</v>
      </c>
      <c r="E24" s="54">
        <f>G24+I24+K24</f>
        <v>1622198.0999999999</v>
      </c>
      <c r="G24" s="53">
        <v>101173.75999999999</v>
      </c>
      <c r="H24" s="51"/>
      <c r="I24" s="53">
        <v>57699.199999999997</v>
      </c>
      <c r="J24" s="51"/>
      <c r="K24" s="53">
        <v>1463325.14</v>
      </c>
      <c r="L24" s="51"/>
      <c r="M24" s="53">
        <v>945243.99</v>
      </c>
      <c r="N24" s="51"/>
      <c r="O24" s="53">
        <v>676514.11</v>
      </c>
      <c r="P24" s="51"/>
      <c r="Q24" s="53">
        <v>-440</v>
      </c>
      <c r="R24" s="49">
        <f>E24-M24-O24-Q24</f>
        <v>879.99999999988358</v>
      </c>
      <c r="S24" s="77">
        <f>E24-M24-O24+Q24</f>
        <v>-1.1641532182693481E-10</v>
      </c>
    </row>
    <row r="25" spans="1:19" ht="12.75" customHeight="1" x14ac:dyDescent="0.25">
      <c r="A25" s="33"/>
    </row>
    <row r="26" spans="1:19" ht="12.75" customHeight="1" x14ac:dyDescent="0.25">
      <c r="A26" s="5"/>
      <c r="B26" s="1" t="s">
        <v>15</v>
      </c>
    </row>
    <row r="27" spans="1:19" ht="12.75" customHeight="1" x14ac:dyDescent="0.25">
      <c r="A27" s="5"/>
      <c r="B27" s="5"/>
      <c r="C27" s="1" t="s">
        <v>16</v>
      </c>
      <c r="D27" s="1"/>
      <c r="E27" s="54">
        <f>G27+I27+K27</f>
        <v>150566.47</v>
      </c>
      <c r="G27" s="53"/>
      <c r="H27" s="51"/>
      <c r="I27" s="53">
        <v>150566.47</v>
      </c>
      <c r="J27" s="51"/>
      <c r="K27" s="53"/>
      <c r="L27" s="51"/>
      <c r="M27" s="53">
        <v>97602.84</v>
      </c>
      <c r="N27" s="51"/>
      <c r="O27" s="53">
        <v>52963.63</v>
      </c>
      <c r="P27" s="51"/>
      <c r="Q27" s="53">
        <v>0</v>
      </c>
      <c r="R27" s="49">
        <f>E27-M27-O27-Q27</f>
        <v>7.2759576141834259E-12</v>
      </c>
      <c r="S27" s="77">
        <f>E27-M27-O27+Q27</f>
        <v>7.2759576141834259E-12</v>
      </c>
    </row>
    <row r="28" spans="1:19" ht="12.75" customHeight="1" x14ac:dyDescent="0.25">
      <c r="A28" s="33"/>
      <c r="B28" s="5"/>
    </row>
    <row r="29" spans="1:19" ht="12.75" customHeight="1" x14ac:dyDescent="0.25">
      <c r="A29" s="5"/>
      <c r="B29" s="5"/>
      <c r="C29" s="5"/>
      <c r="D29" s="1" t="s">
        <v>17</v>
      </c>
    </row>
    <row r="30" spans="1:19" ht="12.75" customHeight="1" x14ac:dyDescent="0.25">
      <c r="A30" s="5"/>
      <c r="B30" s="5"/>
      <c r="C30" s="5"/>
      <c r="D30" s="1" t="s">
        <v>18</v>
      </c>
      <c r="E30" s="6">
        <f>E22+E24+E27</f>
        <v>14610983.410000002</v>
      </c>
      <c r="G30" s="6">
        <f>G22+G24+G27</f>
        <v>11626854.790000001</v>
      </c>
      <c r="I30" s="6">
        <f>I22+I24+I27</f>
        <v>1047573.6499999999</v>
      </c>
      <c r="K30" s="6">
        <f>K22+K24+K27</f>
        <v>1936554.97</v>
      </c>
      <c r="M30" s="6">
        <f>M22+M24+M27</f>
        <v>9573161</v>
      </c>
      <c r="O30" s="6">
        <f>O22+O24+O27</f>
        <v>5031670.41</v>
      </c>
      <c r="Q30" s="6">
        <f>Q22+Q24+Q27</f>
        <v>-6152</v>
      </c>
      <c r="R30" s="49">
        <f>E30-M30-O30-Q30</f>
        <v>12304.000000001863</v>
      </c>
      <c r="S30" s="77">
        <f>E30-M30-O30+Q30</f>
        <v>1.862645149230957E-9</v>
      </c>
    </row>
    <row r="31" spans="1:19" ht="12.75" customHeight="1" x14ac:dyDescent="0.25">
      <c r="A31" s="33"/>
      <c r="E31" s="30" t="s">
        <v>19</v>
      </c>
    </row>
    <row r="32" spans="1:19" ht="12.75" customHeight="1" x14ac:dyDescent="0.25">
      <c r="A32" s="31" t="s">
        <v>260</v>
      </c>
      <c r="B32" s="32"/>
    </row>
    <row r="33" spans="1:19" ht="12.75" customHeight="1" x14ac:dyDescent="0.25">
      <c r="A33" s="33"/>
    </row>
    <row r="34" spans="1:19" ht="12.75" customHeight="1" x14ac:dyDescent="0.25">
      <c r="A34" s="5"/>
      <c r="B34" s="1" t="s">
        <v>11</v>
      </c>
    </row>
    <row r="35" spans="1:19" ht="12.75" customHeight="1" x14ac:dyDescent="0.25">
      <c r="A35" s="5"/>
      <c r="B35" s="5"/>
      <c r="C35" s="1" t="s">
        <v>20</v>
      </c>
      <c r="D35" s="1"/>
      <c r="E35" s="30">
        <f t="shared" ref="E35:E40" si="1">SUM(G35:K35)</f>
        <v>6318110.6000000006</v>
      </c>
      <c r="G35" s="52">
        <v>6068795.9000000004</v>
      </c>
      <c r="H35" s="51"/>
      <c r="I35" s="52">
        <v>41726.51</v>
      </c>
      <c r="J35" s="51"/>
      <c r="K35" s="52">
        <v>207588.19</v>
      </c>
      <c r="L35" s="51"/>
      <c r="M35" s="52">
        <v>3907698.87</v>
      </c>
      <c r="N35" s="51"/>
      <c r="O35" s="52">
        <v>2637097.61</v>
      </c>
      <c r="P35" s="51"/>
      <c r="Q35" s="52">
        <v>226685.88</v>
      </c>
      <c r="R35" s="49">
        <f t="shared" ref="R35:R40" si="2">E35-M35-O35-Q35</f>
        <v>-453371.75999999943</v>
      </c>
      <c r="S35" s="77">
        <f t="shared" ref="S35:S41" si="3">E35-M35-O35+Q35</f>
        <v>5.8207660913467407E-10</v>
      </c>
    </row>
    <row r="36" spans="1:19" ht="12.75" customHeight="1" x14ac:dyDescent="0.25">
      <c r="A36" s="5"/>
      <c r="B36" s="5"/>
      <c r="C36" s="1" t="s">
        <v>21</v>
      </c>
      <c r="D36" s="1"/>
      <c r="E36" s="30">
        <f t="shared" si="1"/>
        <v>8902376.3499999996</v>
      </c>
      <c r="G36" s="52">
        <v>8524904.1099999994</v>
      </c>
      <c r="H36" s="51"/>
      <c r="I36" s="52">
        <v>92565.32</v>
      </c>
      <c r="J36" s="51"/>
      <c r="K36" s="52">
        <v>284906.92</v>
      </c>
      <c r="L36" s="51"/>
      <c r="M36" s="52">
        <v>6236970.6200000001</v>
      </c>
      <c r="N36" s="51"/>
      <c r="O36" s="52">
        <v>2675562.66</v>
      </c>
      <c r="P36" s="51"/>
      <c r="Q36" s="52">
        <v>10156.93</v>
      </c>
      <c r="R36" s="49">
        <f t="shared" si="2"/>
        <v>-20313.860000000634</v>
      </c>
      <c r="S36" s="77">
        <f t="shared" si="3"/>
        <v>-6.3300831243395805E-10</v>
      </c>
    </row>
    <row r="37" spans="1:19" ht="12.75" customHeight="1" x14ac:dyDescent="0.25">
      <c r="A37" s="5"/>
      <c r="B37" s="5"/>
      <c r="C37" s="1" t="s">
        <v>22</v>
      </c>
      <c r="D37" s="1"/>
      <c r="E37" s="30">
        <f t="shared" si="1"/>
        <v>14452050.089999998</v>
      </c>
      <c r="G37" s="52">
        <v>11184030.449999999</v>
      </c>
      <c r="H37" s="51"/>
      <c r="I37" s="52">
        <v>2662126.27</v>
      </c>
      <c r="J37" s="51"/>
      <c r="K37" s="52">
        <v>605893.37</v>
      </c>
      <c r="L37" s="51"/>
      <c r="M37" s="52">
        <v>9611641.1099999994</v>
      </c>
      <c r="N37" s="51"/>
      <c r="O37" s="52">
        <v>8090117.6699999999</v>
      </c>
      <c r="P37" s="51"/>
      <c r="Q37" s="52">
        <v>3249708.69</v>
      </c>
      <c r="R37" s="49">
        <f t="shared" si="2"/>
        <v>-6499417.3800000008</v>
      </c>
      <c r="S37" s="77">
        <f t="shared" si="3"/>
        <v>0</v>
      </c>
    </row>
    <row r="38" spans="1:19" ht="12.75" customHeight="1" x14ac:dyDescent="0.25">
      <c r="A38" s="5"/>
      <c r="B38" s="5"/>
      <c r="C38" s="1" t="s">
        <v>23</v>
      </c>
      <c r="D38" s="1"/>
      <c r="E38" s="30">
        <f t="shared" si="1"/>
        <v>82014.890000000014</v>
      </c>
      <c r="G38" s="52">
        <v>69973.460000000006</v>
      </c>
      <c r="H38" s="51"/>
      <c r="I38" s="52">
        <v>12041.43</v>
      </c>
      <c r="J38" s="51"/>
      <c r="K38" s="52"/>
      <c r="L38" s="51"/>
      <c r="M38" s="52"/>
      <c r="N38" s="51"/>
      <c r="O38" s="52">
        <v>82014.89</v>
      </c>
      <c r="P38" s="51"/>
      <c r="Q38" s="52"/>
      <c r="R38" s="49">
        <f t="shared" si="2"/>
        <v>1.4551915228366852E-11</v>
      </c>
      <c r="S38" s="77">
        <f t="shared" si="3"/>
        <v>1.4551915228366852E-11</v>
      </c>
    </row>
    <row r="39" spans="1:19" ht="12.75" customHeight="1" x14ac:dyDescent="0.25">
      <c r="A39" s="5"/>
      <c r="B39" s="5"/>
      <c r="C39" s="1" t="s">
        <v>24</v>
      </c>
      <c r="D39" s="1"/>
      <c r="E39" s="34">
        <f t="shared" si="1"/>
        <v>9733545.8100000005</v>
      </c>
      <c r="G39" s="52">
        <v>6132958.25</v>
      </c>
      <c r="H39" s="51"/>
      <c r="I39" s="52">
        <v>3364216.07</v>
      </c>
      <c r="J39" s="51"/>
      <c r="K39" s="52">
        <v>236371.49</v>
      </c>
      <c r="L39" s="51"/>
      <c r="M39" s="52">
        <v>4969517.3899999997</v>
      </c>
      <c r="N39" s="51"/>
      <c r="O39" s="52">
        <v>6404848.4000000004</v>
      </c>
      <c r="P39" s="51"/>
      <c r="Q39" s="52">
        <v>1640819.98</v>
      </c>
      <c r="R39" s="49">
        <f t="shared" si="2"/>
        <v>-3281639.9599999995</v>
      </c>
      <c r="S39" s="77">
        <f t="shared" si="3"/>
        <v>0</v>
      </c>
    </row>
    <row r="40" spans="1:19" ht="12.75" customHeight="1" x14ac:dyDescent="0.25">
      <c r="A40" s="5"/>
      <c r="B40" s="5"/>
      <c r="C40" s="1" t="s">
        <v>246</v>
      </c>
      <c r="D40" s="1"/>
      <c r="E40" s="34">
        <f t="shared" si="1"/>
        <v>33095.660000000003</v>
      </c>
      <c r="G40" s="52"/>
      <c r="H40" s="51"/>
      <c r="I40" s="52"/>
      <c r="J40" s="51"/>
      <c r="K40" s="52">
        <v>33095.660000000003</v>
      </c>
      <c r="L40" s="51"/>
      <c r="M40" s="52">
        <v>31000</v>
      </c>
      <c r="N40" s="51"/>
      <c r="O40" s="52">
        <v>2095.66</v>
      </c>
      <c r="P40" s="51"/>
      <c r="Q40" s="52"/>
      <c r="R40" s="49">
        <f t="shared" si="2"/>
        <v>3.637978807091713E-12</v>
      </c>
      <c r="S40" s="77">
        <f t="shared" si="3"/>
        <v>3.637978807091713E-12</v>
      </c>
    </row>
    <row r="41" spans="1:19" ht="12.75" customHeight="1" x14ac:dyDescent="0.25">
      <c r="A41" s="5"/>
      <c r="B41" s="5"/>
      <c r="C41" s="1" t="s">
        <v>25</v>
      </c>
      <c r="D41" s="1"/>
      <c r="E41" s="54">
        <f>G41+I41+K41</f>
        <v>6427505.46</v>
      </c>
      <c r="G41" s="53">
        <v>5899320.79</v>
      </c>
      <c r="H41" s="51"/>
      <c r="I41" s="53">
        <v>236157.43</v>
      </c>
      <c r="J41" s="51"/>
      <c r="K41" s="53">
        <v>292027.24</v>
      </c>
      <c r="L41" s="51"/>
      <c r="M41" s="53">
        <v>4106071.99</v>
      </c>
      <c r="N41" s="51"/>
      <c r="O41" s="53">
        <v>2337664.19</v>
      </c>
      <c r="P41" s="51"/>
      <c r="Q41" s="53">
        <v>16230.72</v>
      </c>
      <c r="R41" s="49">
        <f>E41-M41-O41-Q41</f>
        <v>-32461.440000000206</v>
      </c>
      <c r="S41" s="77">
        <f t="shared" si="3"/>
        <v>-2.0554580260068178E-10</v>
      </c>
    </row>
    <row r="42" spans="1:19" ht="12.75" customHeight="1" x14ac:dyDescent="0.25">
      <c r="A42" s="33"/>
    </row>
    <row r="43" spans="1:19" ht="12.75" customHeight="1" x14ac:dyDescent="0.25">
      <c r="A43" s="5"/>
      <c r="B43" s="5"/>
      <c r="C43" s="5"/>
      <c r="D43" s="1" t="s">
        <v>2</v>
      </c>
      <c r="E43" s="6">
        <f>G43+I43+K43</f>
        <v>45948698.859999999</v>
      </c>
      <c r="G43" s="6">
        <f>SUM(G35:G41)</f>
        <v>37879982.960000001</v>
      </c>
      <c r="I43" s="6">
        <f>SUM(I35:I41)</f>
        <v>6408833.0299999993</v>
      </c>
      <c r="K43" s="6">
        <f>SUM(K35:K41)</f>
        <v>1659882.8699999999</v>
      </c>
      <c r="M43" s="6">
        <f>SUM(M35:M41)</f>
        <v>28862899.980000004</v>
      </c>
      <c r="O43" s="6">
        <f>SUM(O35:O41)</f>
        <v>22229401.080000002</v>
      </c>
      <c r="Q43" s="6">
        <f>SUM(Q35:Q41)</f>
        <v>5143602.2</v>
      </c>
      <c r="R43" s="49">
        <f>E43-M43-O43-Q43</f>
        <v>-10287204.400000006</v>
      </c>
      <c r="S43" s="77">
        <f>E43-M43-O43+Q43</f>
        <v>0</v>
      </c>
    </row>
    <row r="44" spans="1:19" ht="12.75" customHeight="1" x14ac:dyDescent="0.25">
      <c r="A44" s="33"/>
    </row>
    <row r="45" spans="1:19" ht="12.75" customHeight="1" x14ac:dyDescent="0.25">
      <c r="A45" s="5"/>
      <c r="B45" s="1" t="s">
        <v>14</v>
      </c>
    </row>
    <row r="46" spans="1:19" ht="12.75" customHeight="1" x14ac:dyDescent="0.25">
      <c r="A46" s="5"/>
      <c r="B46" s="5"/>
      <c r="C46" s="1" t="s">
        <v>20</v>
      </c>
      <c r="D46" s="5"/>
      <c r="E46" s="30">
        <f t="shared" ref="E46:E55" si="4">SUM(G46:K46)</f>
        <v>6637901.6299999999</v>
      </c>
      <c r="G46" s="52">
        <v>202347.36</v>
      </c>
      <c r="H46" s="51"/>
      <c r="I46" s="52">
        <v>281520.59000000003</v>
      </c>
      <c r="J46" s="51"/>
      <c r="K46" s="52">
        <v>6154033.6799999997</v>
      </c>
      <c r="L46" s="51"/>
      <c r="M46" s="52">
        <v>3308468.49</v>
      </c>
      <c r="N46" s="51"/>
      <c r="O46" s="52">
        <v>3327882.14</v>
      </c>
      <c r="P46" s="51"/>
      <c r="Q46" s="52">
        <v>-1551</v>
      </c>
      <c r="R46" s="49">
        <f t="shared" ref="R46:R55" si="5">E46-M46-O46-Q46</f>
        <v>3101.9999999995343</v>
      </c>
      <c r="S46" s="77">
        <f t="shared" ref="S46:S57" si="6">E46-M46-O46+Q46</f>
        <v>-4.6566128730773926E-10</v>
      </c>
    </row>
    <row r="47" spans="1:19" ht="12.75" customHeight="1" x14ac:dyDescent="0.25">
      <c r="A47" s="5"/>
      <c r="B47" s="5"/>
      <c r="C47" s="1" t="s">
        <v>21</v>
      </c>
      <c r="D47" s="1"/>
      <c r="E47" s="30">
        <f t="shared" si="4"/>
        <v>7405941.0699999994</v>
      </c>
      <c r="G47" s="52">
        <v>83858.38</v>
      </c>
      <c r="H47" s="51"/>
      <c r="I47" s="52">
        <v>30269.63</v>
      </c>
      <c r="J47" s="51"/>
      <c r="K47" s="52">
        <v>7291813.0599999996</v>
      </c>
      <c r="L47" s="51"/>
      <c r="M47" s="52">
        <v>3817725.49</v>
      </c>
      <c r="N47" s="51"/>
      <c r="O47" s="52">
        <v>3588175.58</v>
      </c>
      <c r="P47" s="51"/>
      <c r="Q47" s="52">
        <v>-40</v>
      </c>
      <c r="R47" s="49">
        <f t="shared" si="5"/>
        <v>79.999999999068677</v>
      </c>
      <c r="S47" s="77">
        <f t="shared" si="6"/>
        <v>-9.3132257461547852E-10</v>
      </c>
    </row>
    <row r="48" spans="1:19" ht="12.75" customHeight="1" x14ac:dyDescent="0.25">
      <c r="A48" s="5"/>
      <c r="B48" s="5"/>
      <c r="C48" s="1" t="s">
        <v>26</v>
      </c>
      <c r="D48" s="1"/>
      <c r="E48" s="30">
        <f t="shared" si="4"/>
        <v>0</v>
      </c>
      <c r="G48" s="52"/>
      <c r="H48" s="51"/>
      <c r="I48" s="52"/>
      <c r="J48" s="51"/>
      <c r="K48" s="52"/>
      <c r="L48" s="51"/>
      <c r="M48" s="52"/>
      <c r="N48" s="51"/>
      <c r="O48" s="52"/>
      <c r="P48" s="51"/>
      <c r="Q48" s="52"/>
      <c r="R48" s="49">
        <f t="shared" si="5"/>
        <v>0</v>
      </c>
      <c r="S48" s="77">
        <f t="shared" si="6"/>
        <v>0</v>
      </c>
    </row>
    <row r="49" spans="1:19" ht="12.75" customHeight="1" x14ac:dyDescent="0.25">
      <c r="A49" s="5"/>
      <c r="B49" s="5"/>
      <c r="C49" s="1" t="s">
        <v>22</v>
      </c>
      <c r="D49" s="1"/>
      <c r="E49" s="30">
        <f t="shared" si="4"/>
        <v>14410546.560000001</v>
      </c>
      <c r="G49" s="52">
        <v>286332.09000000003</v>
      </c>
      <c r="H49" s="51"/>
      <c r="I49" s="52">
        <v>230296.29</v>
      </c>
      <c r="J49" s="51"/>
      <c r="K49" s="52">
        <v>13893918.18</v>
      </c>
      <c r="L49" s="51"/>
      <c r="M49" s="52">
        <v>5966296</v>
      </c>
      <c r="N49" s="51"/>
      <c r="O49" s="52">
        <v>8443805.0600000005</v>
      </c>
      <c r="P49" s="51"/>
      <c r="Q49" s="52">
        <v>-445.5</v>
      </c>
      <c r="R49" s="49">
        <f t="shared" si="5"/>
        <v>891</v>
      </c>
      <c r="S49" s="77">
        <f t="shared" si="6"/>
        <v>0</v>
      </c>
    </row>
    <row r="50" spans="1:19" ht="12.75" customHeight="1" x14ac:dyDescent="0.25">
      <c r="A50" s="5"/>
      <c r="B50" s="5"/>
      <c r="C50" s="55" t="s">
        <v>292</v>
      </c>
      <c r="D50" s="1"/>
      <c r="E50" s="30">
        <f t="shared" si="4"/>
        <v>80008.479999999996</v>
      </c>
      <c r="G50" s="52"/>
      <c r="H50" s="51"/>
      <c r="I50" s="52"/>
      <c r="J50" s="51"/>
      <c r="K50" s="52">
        <v>80008.479999999996</v>
      </c>
      <c r="L50" s="51"/>
      <c r="M50" s="52">
        <v>41607.42</v>
      </c>
      <c r="N50" s="51"/>
      <c r="O50" s="52">
        <v>38401.06</v>
      </c>
      <c r="P50" s="51"/>
      <c r="Q50" s="52"/>
      <c r="R50" s="49"/>
      <c r="S50" s="77">
        <f t="shared" si="6"/>
        <v>0</v>
      </c>
    </row>
    <row r="51" spans="1:19" ht="12.75" customHeight="1" x14ac:dyDescent="0.25">
      <c r="A51" s="5"/>
      <c r="B51" s="5"/>
      <c r="C51" s="1" t="s">
        <v>267</v>
      </c>
      <c r="D51" s="1"/>
      <c r="E51" s="30">
        <f>SUM(G51:K51)</f>
        <v>71647.78</v>
      </c>
      <c r="G51" s="52">
        <v>71647.78</v>
      </c>
      <c r="H51" s="51"/>
      <c r="I51" s="52"/>
      <c r="J51" s="51"/>
      <c r="K51" s="52"/>
      <c r="L51" s="51"/>
      <c r="M51" s="52">
        <v>40950.720000000001</v>
      </c>
      <c r="N51" s="51"/>
      <c r="O51" s="52">
        <v>30697.06</v>
      </c>
      <c r="P51" s="51"/>
      <c r="Q51" s="52"/>
      <c r="R51" s="49">
        <f>E51-M51-O51-Q51</f>
        <v>-3.637978807091713E-12</v>
      </c>
      <c r="S51" s="77">
        <f t="shared" si="6"/>
        <v>-3.637978807091713E-12</v>
      </c>
    </row>
    <row r="52" spans="1:19" ht="12.75" customHeight="1" x14ac:dyDescent="0.25">
      <c r="A52" s="5"/>
      <c r="B52" s="5"/>
      <c r="C52" s="1" t="s">
        <v>24</v>
      </c>
      <c r="D52" s="1"/>
      <c r="E52" s="34">
        <f t="shared" si="4"/>
        <v>6269584.9000000004</v>
      </c>
      <c r="F52" s="40"/>
      <c r="G52" s="52">
        <v>26614.560000000001</v>
      </c>
      <c r="H52" s="51"/>
      <c r="I52" s="52">
        <v>106020.14</v>
      </c>
      <c r="J52" s="51"/>
      <c r="K52" s="52">
        <v>6136950.2000000002</v>
      </c>
      <c r="L52" s="51"/>
      <c r="M52" s="52">
        <v>2553113.7999999998</v>
      </c>
      <c r="N52" s="51"/>
      <c r="O52" s="52">
        <v>3716201.33</v>
      </c>
      <c r="P52" s="51" t="s">
        <v>19</v>
      </c>
      <c r="Q52" s="52">
        <v>-269.77</v>
      </c>
      <c r="R52" s="49">
        <f t="shared" si="5"/>
        <v>539.54000000048427</v>
      </c>
      <c r="S52" s="77">
        <f t="shared" si="6"/>
        <v>4.8430592869408429E-10</v>
      </c>
    </row>
    <row r="53" spans="1:19" ht="12.75" customHeight="1" x14ac:dyDescent="0.25">
      <c r="A53" s="5"/>
      <c r="B53" s="5"/>
      <c r="C53" s="1" t="s">
        <v>27</v>
      </c>
      <c r="D53" s="1"/>
      <c r="E53" s="34">
        <f t="shared" si="4"/>
        <v>7395025.79</v>
      </c>
      <c r="G53" s="52">
        <v>882524.69</v>
      </c>
      <c r="H53" s="51"/>
      <c r="I53" s="52">
        <v>494978.22</v>
      </c>
      <c r="J53" s="51"/>
      <c r="K53" s="52">
        <v>6017522.8799999999</v>
      </c>
      <c r="L53" s="51"/>
      <c r="M53" s="52">
        <v>3671302.73</v>
      </c>
      <c r="N53" s="51"/>
      <c r="O53" s="52">
        <v>4511210.17</v>
      </c>
      <c r="P53" s="51"/>
      <c r="Q53" s="52">
        <v>787487.11</v>
      </c>
      <c r="R53" s="49">
        <f t="shared" si="5"/>
        <v>-1574974.2199999997</v>
      </c>
      <c r="S53" s="77">
        <f t="shared" si="6"/>
        <v>0</v>
      </c>
    </row>
    <row r="54" spans="1:19" ht="12.75" customHeight="1" x14ac:dyDescent="0.25">
      <c r="A54" s="5"/>
      <c r="B54" s="5"/>
      <c r="C54" s="1" t="s">
        <v>246</v>
      </c>
      <c r="D54" s="1"/>
      <c r="E54" s="34">
        <f t="shared" si="4"/>
        <v>4504790.5199999996</v>
      </c>
      <c r="G54" s="52">
        <v>372848.22</v>
      </c>
      <c r="H54" s="51"/>
      <c r="I54" s="52">
        <v>73427.83</v>
      </c>
      <c r="J54" s="51"/>
      <c r="K54" s="52">
        <f>-3193.66+4061708.13</f>
        <v>4058514.4699999997</v>
      </c>
      <c r="L54" s="51"/>
      <c r="M54" s="52">
        <v>1853899.23</v>
      </c>
      <c r="N54" s="51"/>
      <c r="O54" s="52">
        <f>-3193.66+3508897.45</f>
        <v>3505703.79</v>
      </c>
      <c r="P54" s="51"/>
      <c r="Q54" s="52">
        <v>854812.5</v>
      </c>
      <c r="R54" s="49">
        <f t="shared" si="5"/>
        <v>-1709625.0000000005</v>
      </c>
      <c r="S54" s="77">
        <f t="shared" si="6"/>
        <v>0</v>
      </c>
    </row>
    <row r="55" spans="1:19" ht="12.75" customHeight="1" x14ac:dyDescent="0.25">
      <c r="A55" s="5"/>
      <c r="B55" s="5"/>
      <c r="C55" s="1" t="s">
        <v>25</v>
      </c>
      <c r="D55" s="1"/>
      <c r="E55" s="34">
        <f t="shared" si="4"/>
        <v>2590777.91</v>
      </c>
      <c r="G55" s="52">
        <v>16888.45</v>
      </c>
      <c r="H55" s="51"/>
      <c r="I55" s="52"/>
      <c r="J55" s="51"/>
      <c r="K55" s="52">
        <v>2573889.46</v>
      </c>
      <c r="L55" s="51"/>
      <c r="M55" s="52">
        <v>1590199.16</v>
      </c>
      <c r="N55" s="51"/>
      <c r="O55" s="52">
        <v>1000438.75</v>
      </c>
      <c r="P55" s="51"/>
      <c r="Q55" s="52">
        <v>-140</v>
      </c>
      <c r="R55" s="49">
        <f t="shared" si="5"/>
        <v>280.00000000023283</v>
      </c>
      <c r="S55" s="77">
        <f t="shared" si="6"/>
        <v>2.3283064365386963E-10</v>
      </c>
    </row>
    <row r="56" spans="1:19" ht="12.75" customHeight="1" x14ac:dyDescent="0.25">
      <c r="A56" s="5"/>
      <c r="B56" s="5"/>
      <c r="C56" s="1" t="s">
        <v>238</v>
      </c>
      <c r="D56" s="1"/>
      <c r="E56" s="34">
        <v>1234160.2</v>
      </c>
      <c r="G56" s="52"/>
      <c r="H56" s="51"/>
      <c r="I56" s="52"/>
      <c r="J56" s="51"/>
      <c r="K56" s="52">
        <v>1234160.2</v>
      </c>
      <c r="L56" s="51"/>
      <c r="M56" s="52">
        <v>707340.29</v>
      </c>
      <c r="N56" s="51"/>
      <c r="O56" s="52">
        <v>525777.91</v>
      </c>
      <c r="P56" s="51"/>
      <c r="Q56" s="52">
        <v>-1042</v>
      </c>
      <c r="R56" s="49">
        <v>2083.9999999998836</v>
      </c>
      <c r="S56" s="77">
        <v>-1.1641532182693481E-10</v>
      </c>
    </row>
    <row r="57" spans="1:19" ht="12.75" customHeight="1" x14ac:dyDescent="0.25">
      <c r="A57" s="5"/>
      <c r="B57" s="5"/>
      <c r="C57" s="55" t="s">
        <v>291</v>
      </c>
      <c r="D57" s="2"/>
      <c r="E57" s="54">
        <f>G57+I57+K57</f>
        <v>160996.16999999998</v>
      </c>
      <c r="G57" s="53">
        <v>2556.87</v>
      </c>
      <c r="H57" s="51"/>
      <c r="I57" s="53"/>
      <c r="J57" s="51"/>
      <c r="K57" s="53">
        <v>158439.29999999999</v>
      </c>
      <c r="L57" s="51"/>
      <c r="M57" s="53">
        <v>134232.48000000001</v>
      </c>
      <c r="N57" s="51"/>
      <c r="O57" s="53">
        <v>26763.69</v>
      </c>
      <c r="P57" s="51"/>
      <c r="Q57" s="53" t="s">
        <v>19</v>
      </c>
      <c r="R57" s="49">
        <f>E57-M57-O57-Q57</f>
        <v>-2.5465851649641991E-11</v>
      </c>
      <c r="S57" s="77">
        <f t="shared" si="6"/>
        <v>-2.5465851649641991E-11</v>
      </c>
    </row>
    <row r="58" spans="1:19" ht="12.75" customHeight="1" x14ac:dyDescent="0.25">
      <c r="A58" s="33"/>
      <c r="J58" s="30"/>
      <c r="L58" s="34"/>
      <c r="N58" s="34"/>
      <c r="P58" s="34"/>
    </row>
    <row r="59" spans="1:19" ht="12.75" customHeight="1" x14ac:dyDescent="0.25">
      <c r="A59" s="5"/>
      <c r="B59" s="5"/>
      <c r="C59" s="5"/>
      <c r="D59" s="1" t="s">
        <v>2</v>
      </c>
      <c r="E59" s="6">
        <f>G59+I59+K59</f>
        <v>50761381.010000005</v>
      </c>
      <c r="F59" s="40"/>
      <c r="G59" s="6">
        <f>SUM(G46:G57)</f>
        <v>1945618.4000000001</v>
      </c>
      <c r="I59" s="6">
        <f>SUM(I46:I57)</f>
        <v>1216512.7000000002</v>
      </c>
      <c r="J59" s="30"/>
      <c r="K59" s="6">
        <f>SUM(K46:K57)</f>
        <v>47599249.910000004</v>
      </c>
      <c r="L59" s="34"/>
      <c r="M59" s="6">
        <f>SUM(M46:M57)</f>
        <v>23685135.810000002</v>
      </c>
      <c r="N59" s="34"/>
      <c r="O59" s="6">
        <f>SUM(O46:O57)</f>
        <v>28715056.540000007</v>
      </c>
      <c r="P59" s="34"/>
      <c r="Q59" s="6">
        <f>SUM(Q46:Q57)</f>
        <v>1638811.3399999999</v>
      </c>
      <c r="R59" s="49">
        <f>E59-M59-O59-Q59</f>
        <v>-3277622.6800000034</v>
      </c>
      <c r="S59" s="77">
        <f>E59-M59-O59+Q59</f>
        <v>-3.7252902984619141E-9</v>
      </c>
    </row>
    <row r="60" spans="1:19" ht="12.75" customHeight="1" x14ac:dyDescent="0.25">
      <c r="A60" s="5"/>
      <c r="B60" s="5"/>
      <c r="C60" s="5"/>
      <c r="D60" s="1"/>
      <c r="E60" s="34"/>
      <c r="F60" s="40"/>
      <c r="G60" s="34"/>
      <c r="I60" s="34"/>
      <c r="J60" s="30"/>
      <c r="K60" s="80"/>
      <c r="L60" s="34"/>
      <c r="M60" s="34"/>
      <c r="N60" s="34"/>
      <c r="O60" s="34"/>
      <c r="P60" s="34"/>
      <c r="Q60" s="34"/>
      <c r="R60" s="49"/>
    </row>
    <row r="61" spans="1:19" ht="12.75" customHeight="1" x14ac:dyDescent="0.25">
      <c r="A61" s="5"/>
      <c r="B61" s="1" t="s">
        <v>15</v>
      </c>
      <c r="J61" s="30"/>
      <c r="L61" s="34"/>
      <c r="N61" s="34"/>
      <c r="P61" s="34"/>
    </row>
    <row r="62" spans="1:19" ht="12.75" customHeight="1" x14ac:dyDescent="0.25">
      <c r="A62" s="5"/>
      <c r="B62" s="5"/>
      <c r="C62" s="1" t="s">
        <v>16</v>
      </c>
      <c r="D62" s="1"/>
      <c r="E62" s="30">
        <f>SUM(G62:K62)</f>
        <v>7491406.6399999997</v>
      </c>
      <c r="G62" s="52">
        <v>5277604.1500000004</v>
      </c>
      <c r="H62" s="51"/>
      <c r="I62" s="52">
        <v>1602238.02</v>
      </c>
      <c r="J62" s="51"/>
      <c r="K62" s="52">
        <v>611564.47</v>
      </c>
      <c r="L62" s="51"/>
      <c r="M62" s="52">
        <v>4644106.1900000004</v>
      </c>
      <c r="N62" s="51"/>
      <c r="O62" s="52">
        <v>2843471.62</v>
      </c>
      <c r="P62" s="51"/>
      <c r="Q62" s="52">
        <v>-3828.83</v>
      </c>
      <c r="R62" s="49">
        <f>E62-M62-O62-Q62</f>
        <v>7657.6599999991431</v>
      </c>
      <c r="S62" s="77">
        <f t="shared" ref="S62:S63" si="7">E62-M62-O62+Q62</f>
        <v>-8.567440090700984E-10</v>
      </c>
    </row>
    <row r="63" spans="1:19" ht="12.75" customHeight="1" x14ac:dyDescent="0.25">
      <c r="A63" s="5"/>
      <c r="B63" s="5"/>
      <c r="C63" s="1" t="s">
        <v>28</v>
      </c>
      <c r="D63" s="1"/>
      <c r="E63" s="54">
        <f>G63+I63+K63</f>
        <v>242783.44</v>
      </c>
      <c r="G63" s="53">
        <v>101904.59</v>
      </c>
      <c r="H63" s="51"/>
      <c r="I63" s="53">
        <v>140631.35</v>
      </c>
      <c r="J63" s="51"/>
      <c r="K63" s="53">
        <v>247.5</v>
      </c>
      <c r="L63" s="51"/>
      <c r="M63" s="53">
        <v>165504.15</v>
      </c>
      <c r="N63" s="51"/>
      <c r="O63" s="53">
        <v>150694.6</v>
      </c>
      <c r="P63" s="51"/>
      <c r="Q63" s="53">
        <v>73415.31</v>
      </c>
      <c r="R63" s="49">
        <f>E63-M63-O63-Q63</f>
        <v>-146830.62</v>
      </c>
      <c r="S63" s="77">
        <f t="shared" si="7"/>
        <v>0</v>
      </c>
    </row>
    <row r="64" spans="1:19" ht="12.75" customHeight="1" x14ac:dyDescent="0.25">
      <c r="A64" s="1" t="s">
        <v>19</v>
      </c>
      <c r="E64" s="30"/>
      <c r="J64" s="30"/>
      <c r="N64" s="34"/>
      <c r="P64" s="34"/>
    </row>
    <row r="65" spans="1:19" ht="12.75" customHeight="1" x14ac:dyDescent="0.25">
      <c r="A65" s="5"/>
      <c r="B65" s="5"/>
      <c r="C65" s="5"/>
      <c r="D65" s="1" t="s">
        <v>2</v>
      </c>
      <c r="E65" s="6">
        <f>G65+I65+K65</f>
        <v>7734190.0800000001</v>
      </c>
      <c r="G65" s="6">
        <f>SUM(G62:G63)</f>
        <v>5379508.7400000002</v>
      </c>
      <c r="I65" s="6">
        <f>SUM(I62:I63)</f>
        <v>1742869.37</v>
      </c>
      <c r="K65" s="6">
        <f>SUM(K62:K63)</f>
        <v>611811.97</v>
      </c>
      <c r="M65" s="6">
        <f>SUM(M62:M63)</f>
        <v>4809610.3400000008</v>
      </c>
      <c r="O65" s="6">
        <f>SUM(O62:O63)</f>
        <v>2994166.22</v>
      </c>
      <c r="Q65" s="6">
        <f>SUM(Q62:Q63)</f>
        <v>69586.48</v>
      </c>
      <c r="R65" s="49">
        <f>E65-M65-O65-Q65</f>
        <v>-139172.96000000089</v>
      </c>
      <c r="S65" s="77">
        <f>E65-M65-O65+Q65</f>
        <v>-9.1677065938711166E-10</v>
      </c>
    </row>
    <row r="66" spans="1:19" ht="12.75" customHeight="1" x14ac:dyDescent="0.25">
      <c r="A66" s="33"/>
    </row>
    <row r="67" spans="1:19" ht="12.75" customHeight="1" x14ac:dyDescent="0.25">
      <c r="A67" s="5"/>
      <c r="B67" s="5"/>
      <c r="C67" s="5"/>
      <c r="D67" s="1" t="s">
        <v>29</v>
      </c>
      <c r="E67" s="6">
        <f>E65+E59+E43</f>
        <v>104444269.95</v>
      </c>
      <c r="G67" s="6">
        <f>G65+G59+G43</f>
        <v>45205110.100000001</v>
      </c>
      <c r="H67" s="30"/>
      <c r="I67" s="6">
        <f>I65+I59+I43</f>
        <v>9368215.0999999996</v>
      </c>
      <c r="J67" s="30"/>
      <c r="K67" s="6">
        <f>K65+K59+K43</f>
        <v>49870944.75</v>
      </c>
      <c r="L67" s="30"/>
      <c r="M67" s="6">
        <f>M65+M59+M43</f>
        <v>57357646.13000001</v>
      </c>
      <c r="N67" s="30"/>
      <c r="O67" s="6">
        <f>O65+O59+O43</f>
        <v>53938623.840000004</v>
      </c>
      <c r="P67" s="30"/>
      <c r="Q67" s="6">
        <f>Q65+Q59+Q43</f>
        <v>6852000.0199999996</v>
      </c>
      <c r="R67" s="49">
        <f>E67-M67-O67-Q67</f>
        <v>-13704000.04000001</v>
      </c>
      <c r="S67" s="77">
        <f>E67-M67-O67+Q67</f>
        <v>-1.1175870895385742E-8</v>
      </c>
    </row>
    <row r="68" spans="1:19" ht="12.75" customHeight="1" x14ac:dyDescent="0.25">
      <c r="A68" s="38"/>
      <c r="B68" s="32"/>
      <c r="E68" s="74"/>
      <c r="K68" s="74"/>
    </row>
    <row r="69" spans="1:19" ht="12.75" customHeight="1" x14ac:dyDescent="0.25">
      <c r="A69" s="31" t="s">
        <v>30</v>
      </c>
    </row>
    <row r="70" spans="1:19" ht="12.75" customHeight="1" x14ac:dyDescent="0.25">
      <c r="A70" s="33" t="s">
        <v>19</v>
      </c>
      <c r="B70" s="38" t="s">
        <v>31</v>
      </c>
    </row>
    <row r="71" spans="1:19" ht="12.75" customHeight="1" x14ac:dyDescent="0.25">
      <c r="A71" s="5"/>
    </row>
    <row r="72" spans="1:19" ht="12.75" customHeight="1" x14ac:dyDescent="0.25">
      <c r="A72" s="5"/>
      <c r="B72" s="1" t="s">
        <v>11</v>
      </c>
    </row>
    <row r="73" spans="1:19" ht="12.75" customHeight="1" x14ac:dyDescent="0.25">
      <c r="A73" s="5"/>
      <c r="B73" s="33">
        <v>1</v>
      </c>
      <c r="C73" s="1" t="s">
        <v>32</v>
      </c>
      <c r="D73" s="1"/>
      <c r="E73" s="30">
        <f t="shared" ref="E73:E91" si="8">SUM(G73:K73)</f>
        <v>3742497.62</v>
      </c>
      <c r="G73" s="52">
        <v>3582074.22</v>
      </c>
      <c r="H73" s="51"/>
      <c r="I73" s="52">
        <v>151741.35</v>
      </c>
      <c r="J73" s="51"/>
      <c r="K73" s="52">
        <v>8682.0499999999993</v>
      </c>
      <c r="L73" s="51"/>
      <c r="M73" s="52">
        <v>2378177.4300000002</v>
      </c>
      <c r="N73" s="51"/>
      <c r="O73" s="52">
        <v>1364320.19</v>
      </c>
      <c r="P73" s="51"/>
      <c r="Q73" s="52"/>
      <c r="R73" s="49">
        <f t="shared" ref="R73:R111" si="9">E73-M73-O73-Q73</f>
        <v>0</v>
      </c>
      <c r="S73" s="77">
        <f t="shared" ref="S73:S113" si="10">E73-M73-O73+Q73</f>
        <v>0</v>
      </c>
    </row>
    <row r="74" spans="1:19" ht="12.75" customHeight="1" x14ac:dyDescent="0.25">
      <c r="A74" s="5"/>
      <c r="B74" s="33">
        <v>2</v>
      </c>
      <c r="C74" s="1" t="s">
        <v>33</v>
      </c>
      <c r="D74" s="1"/>
      <c r="E74" s="30">
        <f t="shared" si="8"/>
        <v>4099416.6799999997</v>
      </c>
      <c r="G74" s="52">
        <v>3660635.09</v>
      </c>
      <c r="H74" s="51"/>
      <c r="I74" s="52">
        <v>84507.69</v>
      </c>
      <c r="J74" s="51"/>
      <c r="K74" s="52">
        <v>354273.9</v>
      </c>
      <c r="L74" s="51"/>
      <c r="M74" s="52">
        <v>2476478.15</v>
      </c>
      <c r="N74" s="51"/>
      <c r="O74" s="52">
        <v>1621368.53</v>
      </c>
      <c r="P74" s="51"/>
      <c r="Q74" s="52">
        <v>-1570</v>
      </c>
      <c r="R74" s="49">
        <f t="shared" si="9"/>
        <v>3139.9999999997672</v>
      </c>
      <c r="S74" s="77">
        <f t="shared" si="10"/>
        <v>-2.3283064365386963E-10</v>
      </c>
    </row>
    <row r="75" spans="1:19" ht="12.75" customHeight="1" x14ac:dyDescent="0.25">
      <c r="A75" s="5"/>
      <c r="B75" s="33">
        <v>3</v>
      </c>
      <c r="C75" s="1" t="s">
        <v>34</v>
      </c>
      <c r="D75" s="1"/>
      <c r="E75" s="30">
        <f t="shared" si="8"/>
        <v>3167251.26</v>
      </c>
      <c r="G75" s="52">
        <v>3083049.28</v>
      </c>
      <c r="H75" s="51"/>
      <c r="I75" s="52">
        <v>77420.38</v>
      </c>
      <c r="J75" s="51"/>
      <c r="K75" s="52">
        <v>6781.6</v>
      </c>
      <c r="L75" s="51"/>
      <c r="M75" s="52">
        <v>2080652.9</v>
      </c>
      <c r="N75" s="51"/>
      <c r="O75" s="52">
        <v>1085679.3600000001</v>
      </c>
      <c r="P75" s="51"/>
      <c r="Q75" s="52">
        <v>-919</v>
      </c>
      <c r="R75" s="49">
        <f t="shared" si="9"/>
        <v>1837.9999999997672</v>
      </c>
      <c r="S75" s="77">
        <f t="shared" si="10"/>
        <v>-2.3283064365386963E-10</v>
      </c>
    </row>
    <row r="76" spans="1:19" ht="12.75" customHeight="1" x14ac:dyDescent="0.25">
      <c r="A76" s="5"/>
      <c r="B76" s="33">
        <v>4</v>
      </c>
      <c r="C76" s="1" t="s">
        <v>35</v>
      </c>
      <c r="D76" s="1"/>
      <c r="E76" s="30">
        <f t="shared" si="8"/>
        <v>968879.94</v>
      </c>
      <c r="G76" s="52">
        <v>929973.59</v>
      </c>
      <c r="H76" s="51"/>
      <c r="I76" s="52">
        <v>27477.23</v>
      </c>
      <c r="J76" s="51"/>
      <c r="K76" s="52">
        <v>11429.12</v>
      </c>
      <c r="L76" s="51"/>
      <c r="M76" s="52">
        <v>647462.86</v>
      </c>
      <c r="N76" s="51"/>
      <c r="O76" s="52">
        <v>321277.08</v>
      </c>
      <c r="P76" s="51"/>
      <c r="Q76" s="52">
        <v>-140</v>
      </c>
      <c r="R76" s="49">
        <f t="shared" si="9"/>
        <v>279.99999999994179</v>
      </c>
      <c r="S76" s="77">
        <f t="shared" si="10"/>
        <v>-5.8207660913467407E-11</v>
      </c>
    </row>
    <row r="77" spans="1:19" ht="12.75" customHeight="1" x14ac:dyDescent="0.25">
      <c r="A77" s="5"/>
      <c r="B77" s="33">
        <v>5</v>
      </c>
      <c r="C77" s="1" t="s">
        <v>36</v>
      </c>
      <c r="D77" s="1"/>
      <c r="E77" s="30">
        <f t="shared" si="8"/>
        <v>16530721.079999998</v>
      </c>
      <c r="G77" s="52">
        <v>15666424.619999999</v>
      </c>
      <c r="H77" s="51"/>
      <c r="I77" s="52">
        <v>602194.37</v>
      </c>
      <c r="J77" s="51"/>
      <c r="K77" s="52">
        <v>262102.09</v>
      </c>
      <c r="L77" s="51"/>
      <c r="M77" s="52">
        <v>11166098.310000001</v>
      </c>
      <c r="N77" s="51"/>
      <c r="O77" s="52">
        <v>5478718.0199999996</v>
      </c>
      <c r="P77" s="51"/>
      <c r="Q77" s="52">
        <v>114095.25</v>
      </c>
      <c r="R77" s="49">
        <f t="shared" si="9"/>
        <v>-228190.50000000186</v>
      </c>
      <c r="S77" s="77">
        <f t="shared" si="10"/>
        <v>-1.862645149230957E-9</v>
      </c>
    </row>
    <row r="78" spans="1:19" ht="12.75" customHeight="1" x14ac:dyDescent="0.25">
      <c r="A78" s="5"/>
      <c r="B78" s="33">
        <v>6</v>
      </c>
      <c r="C78" s="1" t="s">
        <v>37</v>
      </c>
      <c r="D78" s="1"/>
      <c r="E78" s="30">
        <f t="shared" si="8"/>
        <v>2387081.0600000005</v>
      </c>
      <c r="G78" s="52">
        <v>2378006.7000000002</v>
      </c>
      <c r="H78" s="51"/>
      <c r="I78" s="52">
        <v>6779.47</v>
      </c>
      <c r="J78" s="51"/>
      <c r="K78" s="52">
        <v>2294.89</v>
      </c>
      <c r="L78" s="51"/>
      <c r="M78" s="52">
        <v>1696577.67</v>
      </c>
      <c r="N78" s="51"/>
      <c r="O78" s="52">
        <v>690278.39</v>
      </c>
      <c r="P78" s="51"/>
      <c r="Q78" s="52">
        <v>-225</v>
      </c>
      <c r="R78" s="49">
        <f t="shared" si="9"/>
        <v>450.00000000058208</v>
      </c>
      <c r="S78" s="77">
        <f t="shared" si="10"/>
        <v>5.8207660913467407E-10</v>
      </c>
    </row>
    <row r="79" spans="1:19" ht="12.75" customHeight="1" x14ac:dyDescent="0.25">
      <c r="A79" s="5"/>
      <c r="B79" s="33">
        <v>7</v>
      </c>
      <c r="C79" s="1" t="s">
        <v>38</v>
      </c>
      <c r="D79" s="1"/>
      <c r="E79" s="30">
        <f t="shared" si="8"/>
        <v>10879687.219999999</v>
      </c>
      <c r="G79" s="52">
        <v>10274102.34</v>
      </c>
      <c r="H79" s="51"/>
      <c r="I79" s="52">
        <v>396325.26</v>
      </c>
      <c r="J79" s="51"/>
      <c r="K79" s="52">
        <v>209259.62</v>
      </c>
      <c r="L79" s="51"/>
      <c r="M79" s="52">
        <v>7978775.7400000002</v>
      </c>
      <c r="N79" s="51"/>
      <c r="O79" s="52">
        <v>3504739.4</v>
      </c>
      <c r="P79" s="51"/>
      <c r="Q79" s="52">
        <v>603827.92000000004</v>
      </c>
      <c r="R79" s="49">
        <f t="shared" si="9"/>
        <v>-1207655.8400000012</v>
      </c>
      <c r="S79" s="77">
        <f t="shared" si="10"/>
        <v>-1.280568540096283E-9</v>
      </c>
    </row>
    <row r="80" spans="1:19" ht="12.75" customHeight="1" x14ac:dyDescent="0.25">
      <c r="A80" s="5"/>
      <c r="B80" s="33">
        <v>8</v>
      </c>
      <c r="C80" s="1" t="s">
        <v>39</v>
      </c>
      <c r="D80" s="1"/>
      <c r="E80" s="30">
        <f t="shared" si="8"/>
        <v>2246418.6300000004</v>
      </c>
      <c r="G80" s="52">
        <v>2221882.1800000002</v>
      </c>
      <c r="H80" s="51"/>
      <c r="I80" s="52">
        <v>21591.599999999999</v>
      </c>
      <c r="J80" s="51"/>
      <c r="K80" s="52">
        <v>2944.85</v>
      </c>
      <c r="L80" s="51"/>
      <c r="M80" s="52">
        <v>1522894.08</v>
      </c>
      <c r="N80" s="51"/>
      <c r="O80" s="52">
        <v>723524.55</v>
      </c>
      <c r="P80" s="51"/>
      <c r="Q80" s="52"/>
      <c r="R80" s="49">
        <f t="shared" si="9"/>
        <v>2.3283064365386963E-10</v>
      </c>
      <c r="S80" s="77">
        <f t="shared" si="10"/>
        <v>2.3283064365386963E-10</v>
      </c>
    </row>
    <row r="81" spans="1:19" ht="12.75" customHeight="1" x14ac:dyDescent="0.25">
      <c r="A81" s="5"/>
      <c r="B81" s="33">
        <v>9</v>
      </c>
      <c r="C81" s="1" t="s">
        <v>40</v>
      </c>
      <c r="D81" s="1"/>
      <c r="E81" s="30">
        <f t="shared" si="8"/>
        <v>1702975.11</v>
      </c>
      <c r="G81" s="52">
        <v>1684564.32</v>
      </c>
      <c r="H81" s="51"/>
      <c r="I81" s="52">
        <v>1501.26</v>
      </c>
      <c r="J81" s="51"/>
      <c r="K81" s="52">
        <v>16909.53</v>
      </c>
      <c r="L81" s="51"/>
      <c r="M81" s="52">
        <v>1125572.3500000001</v>
      </c>
      <c r="N81" s="51"/>
      <c r="O81" s="52">
        <v>577376.76</v>
      </c>
      <c r="P81" s="51"/>
      <c r="Q81" s="52">
        <v>-26</v>
      </c>
      <c r="R81" s="49">
        <f t="shared" si="9"/>
        <v>52</v>
      </c>
      <c r="S81" s="77">
        <f t="shared" si="10"/>
        <v>0</v>
      </c>
    </row>
    <row r="82" spans="1:19" ht="12.75" customHeight="1" x14ac:dyDescent="0.25">
      <c r="A82" s="5"/>
      <c r="B82" s="33">
        <v>10</v>
      </c>
      <c r="C82" s="1" t="s">
        <v>268</v>
      </c>
      <c r="D82" s="1"/>
      <c r="E82" s="30">
        <f t="shared" si="8"/>
        <v>5242009.3199999994</v>
      </c>
      <c r="G82" s="52">
        <v>5193565.68</v>
      </c>
      <c r="H82" s="51"/>
      <c r="I82" s="52">
        <v>19561.29</v>
      </c>
      <c r="J82" s="51"/>
      <c r="K82" s="52">
        <v>28882.35</v>
      </c>
      <c r="L82" s="51"/>
      <c r="M82" s="52">
        <v>3826932.33</v>
      </c>
      <c r="N82" s="51"/>
      <c r="O82" s="52">
        <v>1414926.99</v>
      </c>
      <c r="P82" s="51"/>
      <c r="Q82" s="52">
        <v>-150</v>
      </c>
      <c r="R82" s="49">
        <f t="shared" si="9"/>
        <v>299.99999999930151</v>
      </c>
      <c r="S82" s="77">
        <f t="shared" si="10"/>
        <v>-6.9849193096160889E-10</v>
      </c>
    </row>
    <row r="83" spans="1:19" ht="12.75" customHeight="1" x14ac:dyDescent="0.25">
      <c r="A83" s="5"/>
      <c r="B83" s="33">
        <v>11</v>
      </c>
      <c r="C83" s="1" t="s">
        <v>41</v>
      </c>
      <c r="D83" s="1"/>
      <c r="E83" s="30">
        <f t="shared" si="8"/>
        <v>5215281.66</v>
      </c>
      <c r="G83" s="52">
        <v>4856964.01</v>
      </c>
      <c r="H83" s="51"/>
      <c r="I83" s="52">
        <v>171641.86</v>
      </c>
      <c r="J83" s="51"/>
      <c r="K83" s="52">
        <v>186675.79</v>
      </c>
      <c r="L83" s="51"/>
      <c r="M83" s="52">
        <v>3403133.42</v>
      </c>
      <c r="N83" s="51"/>
      <c r="O83" s="52">
        <v>1810939.24</v>
      </c>
      <c r="P83" s="51"/>
      <c r="Q83" s="52">
        <v>-1209</v>
      </c>
      <c r="R83" s="49">
        <f t="shared" si="9"/>
        <v>2418.0000000002328</v>
      </c>
      <c r="S83" s="77">
        <f t="shared" si="10"/>
        <v>2.3283064365386963E-10</v>
      </c>
    </row>
    <row r="84" spans="1:19" ht="12.75" customHeight="1" x14ac:dyDescent="0.25">
      <c r="A84" s="5"/>
      <c r="B84" s="33">
        <v>12</v>
      </c>
      <c r="C84" s="1" t="s">
        <v>42</v>
      </c>
      <c r="D84" s="1"/>
      <c r="E84" s="30">
        <f t="shared" si="8"/>
        <v>3108416.5500000003</v>
      </c>
      <c r="G84" s="52">
        <v>2924852.5</v>
      </c>
      <c r="H84" s="51"/>
      <c r="I84" s="52">
        <v>81937.45</v>
      </c>
      <c r="J84" s="51"/>
      <c r="K84" s="52">
        <v>101626.6</v>
      </c>
      <c r="L84" s="51"/>
      <c r="M84" s="52">
        <v>2065225.46</v>
      </c>
      <c r="N84" s="51"/>
      <c r="O84" s="52">
        <v>1042671.09</v>
      </c>
      <c r="P84" s="51"/>
      <c r="Q84" s="52">
        <v>-520</v>
      </c>
      <c r="R84" s="49">
        <f t="shared" si="9"/>
        <v>1040.0000000003492</v>
      </c>
      <c r="S84" s="77">
        <f t="shared" si="10"/>
        <v>3.4924596548080444E-10</v>
      </c>
    </row>
    <row r="85" spans="1:19" ht="12.75" customHeight="1" x14ac:dyDescent="0.25">
      <c r="A85" s="5"/>
      <c r="B85" s="33">
        <v>13</v>
      </c>
      <c r="C85" s="1" t="s">
        <v>43</v>
      </c>
      <c r="D85" s="1"/>
      <c r="E85" s="30">
        <f t="shared" si="8"/>
        <v>8925660.0700000003</v>
      </c>
      <c r="G85" s="52">
        <v>8529012.4000000004</v>
      </c>
      <c r="H85" s="51"/>
      <c r="I85" s="52">
        <v>66829.81</v>
      </c>
      <c r="J85" s="51"/>
      <c r="K85" s="52">
        <v>329817.86</v>
      </c>
      <c r="L85" s="51"/>
      <c r="M85" s="52">
        <v>6512907.3700000001</v>
      </c>
      <c r="N85" s="51"/>
      <c r="O85" s="52">
        <v>2412228.7000000002</v>
      </c>
      <c r="P85" s="51"/>
      <c r="Q85" s="52">
        <v>-524</v>
      </c>
      <c r="R85" s="49">
        <f t="shared" si="9"/>
        <v>1048</v>
      </c>
      <c r="S85" s="77">
        <f t="shared" si="10"/>
        <v>0</v>
      </c>
    </row>
    <row r="86" spans="1:19" ht="12.75" customHeight="1" x14ac:dyDescent="0.25">
      <c r="A86" s="5"/>
      <c r="B86" s="33">
        <v>14</v>
      </c>
      <c r="C86" s="1" t="s">
        <v>44</v>
      </c>
      <c r="D86" s="1"/>
      <c r="E86" s="34">
        <f t="shared" si="8"/>
        <v>5669186.8500000006</v>
      </c>
      <c r="G86" s="52">
        <v>5515343.9699999997</v>
      </c>
      <c r="H86" s="51"/>
      <c r="I86" s="52">
        <v>59273.15</v>
      </c>
      <c r="J86" s="51"/>
      <c r="K86" s="52">
        <v>94569.73</v>
      </c>
      <c r="L86" s="51"/>
      <c r="M86" s="52">
        <v>4137593.23</v>
      </c>
      <c r="N86" s="51"/>
      <c r="O86" s="52">
        <v>1531497.62</v>
      </c>
      <c r="P86" s="51"/>
      <c r="Q86" s="52">
        <v>-96</v>
      </c>
      <c r="R86" s="49">
        <f t="shared" si="9"/>
        <v>192.00000000046566</v>
      </c>
      <c r="S86" s="77">
        <f t="shared" si="10"/>
        <v>4.6566128730773926E-10</v>
      </c>
    </row>
    <row r="87" spans="1:19" ht="12.75" customHeight="1" x14ac:dyDescent="0.25">
      <c r="A87" s="5"/>
      <c r="B87" s="33">
        <v>15</v>
      </c>
      <c r="C87" s="1" t="s">
        <v>45</v>
      </c>
      <c r="D87" s="1"/>
      <c r="E87" s="30">
        <f t="shared" si="8"/>
        <v>2540707.6599999997</v>
      </c>
      <c r="G87" s="52">
        <v>2348070.11</v>
      </c>
      <c r="H87" s="51"/>
      <c r="I87" s="52">
        <v>27107.25</v>
      </c>
      <c r="J87" s="51"/>
      <c r="K87" s="52">
        <v>165530.29999999999</v>
      </c>
      <c r="L87" s="51"/>
      <c r="M87" s="52">
        <v>1684999.4</v>
      </c>
      <c r="N87" s="51"/>
      <c r="O87" s="52">
        <v>855060.76</v>
      </c>
      <c r="P87" s="51"/>
      <c r="Q87" s="52">
        <v>-647.5</v>
      </c>
      <c r="R87" s="49">
        <f t="shared" si="9"/>
        <v>1294.9999999997672</v>
      </c>
      <c r="S87" s="77">
        <f t="shared" si="10"/>
        <v>-2.3283064365386963E-10</v>
      </c>
    </row>
    <row r="88" spans="1:19" ht="12.75" customHeight="1" x14ac:dyDescent="0.25">
      <c r="A88" s="5"/>
      <c r="B88" s="33">
        <v>16</v>
      </c>
      <c r="C88" s="1" t="s">
        <v>46</v>
      </c>
      <c r="D88" s="1"/>
      <c r="E88" s="30">
        <f t="shared" si="8"/>
        <v>3954131.7899999996</v>
      </c>
      <c r="G88" s="52">
        <v>3780857.57</v>
      </c>
      <c r="H88" s="51"/>
      <c r="I88" s="52">
        <v>80758.63</v>
      </c>
      <c r="J88" s="51"/>
      <c r="K88" s="52">
        <v>92515.59</v>
      </c>
      <c r="L88" s="51"/>
      <c r="M88" s="52">
        <v>2702737.68</v>
      </c>
      <c r="N88" s="51"/>
      <c r="O88" s="52">
        <v>1250826.1100000001</v>
      </c>
      <c r="P88" s="51"/>
      <c r="Q88" s="52">
        <v>-568</v>
      </c>
      <c r="R88" s="49">
        <f t="shared" si="9"/>
        <v>1135.9999999993015</v>
      </c>
      <c r="S88" s="77">
        <f t="shared" si="10"/>
        <v>-6.9849193096160889E-10</v>
      </c>
    </row>
    <row r="89" spans="1:19" ht="12.75" customHeight="1" x14ac:dyDescent="0.25">
      <c r="A89" s="5"/>
      <c r="B89" s="33">
        <v>17</v>
      </c>
      <c r="C89" s="1" t="s">
        <v>47</v>
      </c>
      <c r="D89" s="1"/>
      <c r="E89" s="30">
        <f t="shared" si="8"/>
        <v>2934818.8499999996</v>
      </c>
      <c r="G89" s="52">
        <v>2909828.4</v>
      </c>
      <c r="H89" s="51"/>
      <c r="I89" s="52">
        <v>23052.65</v>
      </c>
      <c r="J89" s="51"/>
      <c r="K89" s="52">
        <v>1937.8</v>
      </c>
      <c r="L89" s="51"/>
      <c r="M89" s="52">
        <v>2107189.02</v>
      </c>
      <c r="N89" s="51"/>
      <c r="O89" s="52">
        <v>827565.83</v>
      </c>
      <c r="P89" s="51"/>
      <c r="Q89" s="52">
        <v>-64</v>
      </c>
      <c r="R89" s="49">
        <f t="shared" si="9"/>
        <v>127.99999999965075</v>
      </c>
      <c r="S89" s="77">
        <f t="shared" si="10"/>
        <v>-3.4924596548080444E-10</v>
      </c>
    </row>
    <row r="90" spans="1:19" ht="12.75" customHeight="1" x14ac:dyDescent="0.25">
      <c r="A90" s="5"/>
      <c r="B90" s="33">
        <v>18</v>
      </c>
      <c r="C90" s="1" t="s">
        <v>48</v>
      </c>
      <c r="D90" s="1"/>
      <c r="E90" s="30">
        <f t="shared" si="8"/>
        <v>7194813.3499999996</v>
      </c>
      <c r="G90" s="52">
        <v>6954165.5800000001</v>
      </c>
      <c r="H90" s="51"/>
      <c r="I90" s="52">
        <v>97080.6</v>
      </c>
      <c r="J90" s="51"/>
      <c r="K90" s="52">
        <v>143567.17000000001</v>
      </c>
      <c r="L90" s="51"/>
      <c r="M90" s="52">
        <v>4686504.5599999996</v>
      </c>
      <c r="N90" s="51"/>
      <c r="O90" s="52">
        <v>2513158.79</v>
      </c>
      <c r="P90" s="51"/>
      <c r="Q90" s="52">
        <v>4850</v>
      </c>
      <c r="R90" s="49">
        <f t="shared" si="9"/>
        <v>-9700</v>
      </c>
      <c r="S90" s="77">
        <f t="shared" si="10"/>
        <v>0</v>
      </c>
    </row>
    <row r="91" spans="1:19" ht="12.75" customHeight="1" x14ac:dyDescent="0.25">
      <c r="A91" s="5"/>
      <c r="B91" s="33">
        <v>19</v>
      </c>
      <c r="C91" s="1" t="s">
        <v>49</v>
      </c>
      <c r="D91" s="1"/>
      <c r="E91" s="30">
        <f t="shared" si="8"/>
        <v>5613462.5700000003</v>
      </c>
      <c r="G91" s="52">
        <v>5406008.3200000003</v>
      </c>
      <c r="H91" s="51"/>
      <c r="I91" s="52">
        <v>104916.27</v>
      </c>
      <c r="J91" s="51"/>
      <c r="K91" s="52">
        <v>102537.98</v>
      </c>
      <c r="L91" s="51"/>
      <c r="M91" s="52">
        <v>3640355.63</v>
      </c>
      <c r="N91" s="51"/>
      <c r="O91" s="52">
        <v>2163891.19</v>
      </c>
      <c r="P91" s="51"/>
      <c r="Q91" s="52">
        <v>190784.25</v>
      </c>
      <c r="R91" s="49">
        <f t="shared" si="9"/>
        <v>-381568.49999999953</v>
      </c>
      <c r="S91" s="77">
        <f t="shared" si="10"/>
        <v>4.6566128730773926E-10</v>
      </c>
    </row>
    <row r="92" spans="1:19" ht="12.75" customHeight="1" x14ac:dyDescent="0.25">
      <c r="A92" s="5"/>
      <c r="B92" s="33">
        <v>21</v>
      </c>
      <c r="C92" s="5" t="s">
        <v>252</v>
      </c>
      <c r="D92" s="1"/>
      <c r="E92" s="30">
        <f t="shared" ref="E92:E111" si="11">SUM(G92:K92)</f>
        <v>1893270.3299999998</v>
      </c>
      <c r="G92" s="52">
        <v>1853659.45</v>
      </c>
      <c r="H92" s="51"/>
      <c r="I92" s="52">
        <v>17075.14</v>
      </c>
      <c r="J92" s="51"/>
      <c r="K92" s="52">
        <v>22535.74</v>
      </c>
      <c r="L92" s="51"/>
      <c r="M92" s="52">
        <v>1284498.44</v>
      </c>
      <c r="N92" s="51"/>
      <c r="O92" s="52">
        <v>608761.89</v>
      </c>
      <c r="P92" s="51"/>
      <c r="Q92" s="52">
        <v>-10</v>
      </c>
      <c r="R92" s="49">
        <f t="shared" si="9"/>
        <v>19.999999999883585</v>
      </c>
      <c r="S92" s="77">
        <f t="shared" si="10"/>
        <v>-1.1641532182693481E-10</v>
      </c>
    </row>
    <row r="93" spans="1:19" ht="12.75" customHeight="1" x14ac:dyDescent="0.25">
      <c r="A93" s="5"/>
      <c r="B93" s="33">
        <v>22</v>
      </c>
      <c r="C93" s="1" t="s">
        <v>52</v>
      </c>
      <c r="D93" s="1"/>
      <c r="E93" s="30">
        <f t="shared" si="11"/>
        <v>6754974.5799999991</v>
      </c>
      <c r="G93" s="52">
        <v>6648890.2199999997</v>
      </c>
      <c r="H93" s="51"/>
      <c r="I93" s="52">
        <v>19126.14</v>
      </c>
      <c r="J93" s="51"/>
      <c r="K93" s="52">
        <v>86958.22</v>
      </c>
      <c r="L93" s="51"/>
      <c r="M93" s="52">
        <v>4931463.34</v>
      </c>
      <c r="N93" s="51"/>
      <c r="O93" s="52">
        <v>1823395.24</v>
      </c>
      <c r="P93" s="51"/>
      <c r="Q93" s="52">
        <v>-116</v>
      </c>
      <c r="R93" s="49">
        <f t="shared" si="9"/>
        <v>231.99999999930151</v>
      </c>
      <c r="S93" s="77">
        <f t="shared" si="10"/>
        <v>-6.9849193096160889E-10</v>
      </c>
    </row>
    <row r="94" spans="1:19" ht="12.75" customHeight="1" x14ac:dyDescent="0.25">
      <c r="A94" s="5"/>
      <c r="B94" s="33">
        <v>23</v>
      </c>
      <c r="C94" s="1" t="s">
        <v>53</v>
      </c>
      <c r="D94" s="1"/>
      <c r="E94" s="30">
        <f t="shared" si="11"/>
        <v>1803385.1600000001</v>
      </c>
      <c r="G94" s="52">
        <v>838891.25</v>
      </c>
      <c r="H94" s="51"/>
      <c r="I94" s="52">
        <v>46271.49</v>
      </c>
      <c r="J94" s="51"/>
      <c r="K94" s="52">
        <v>918222.42</v>
      </c>
      <c r="L94" s="51"/>
      <c r="M94" s="52">
        <v>965911.98</v>
      </c>
      <c r="N94" s="51"/>
      <c r="O94" s="52">
        <v>833128.93</v>
      </c>
      <c r="P94" s="51"/>
      <c r="Q94" s="52">
        <v>-4344.25</v>
      </c>
      <c r="R94" s="49">
        <f t="shared" si="9"/>
        <v>8688.5000000001164</v>
      </c>
      <c r="S94" s="77">
        <f t="shared" si="10"/>
        <v>1.1641532182693481E-10</v>
      </c>
    </row>
    <row r="95" spans="1:19" ht="12.75" customHeight="1" x14ac:dyDescent="0.25">
      <c r="A95" s="5"/>
      <c r="B95" s="33">
        <v>24</v>
      </c>
      <c r="C95" s="1" t="s">
        <v>54</v>
      </c>
      <c r="D95" s="1"/>
      <c r="E95" s="30">
        <f t="shared" si="11"/>
        <v>0</v>
      </c>
      <c r="G95" s="52"/>
      <c r="H95" s="51"/>
      <c r="I95" s="52"/>
      <c r="J95" s="51"/>
      <c r="K95" s="52"/>
      <c r="L95" s="51"/>
      <c r="M95" s="52"/>
      <c r="N95" s="51"/>
      <c r="O95" s="52"/>
      <c r="P95" s="51"/>
      <c r="Q95" s="52"/>
      <c r="R95" s="49">
        <f t="shared" si="9"/>
        <v>0</v>
      </c>
      <c r="S95" s="77">
        <f t="shared" si="10"/>
        <v>0</v>
      </c>
    </row>
    <row r="96" spans="1:19" ht="12.75" customHeight="1" x14ac:dyDescent="0.25">
      <c r="A96" s="5"/>
      <c r="B96" s="33">
        <v>25</v>
      </c>
      <c r="C96" s="1" t="s">
        <v>55</v>
      </c>
      <c r="D96" s="1"/>
      <c r="E96" s="30">
        <f t="shared" si="11"/>
        <v>2570710.12</v>
      </c>
      <c r="G96" s="52">
        <v>2523836.27</v>
      </c>
      <c r="H96" s="51"/>
      <c r="I96" s="52">
        <v>34417.730000000003</v>
      </c>
      <c r="J96" s="51"/>
      <c r="K96" s="52">
        <v>12456.12</v>
      </c>
      <c r="L96" s="51"/>
      <c r="M96" s="52">
        <v>1769880.35</v>
      </c>
      <c r="N96" s="51"/>
      <c r="O96" s="52">
        <v>800773.77</v>
      </c>
      <c r="P96" s="51"/>
      <c r="Q96" s="52">
        <v>-56</v>
      </c>
      <c r="R96" s="49">
        <f t="shared" si="9"/>
        <v>112</v>
      </c>
      <c r="S96" s="77">
        <f t="shared" si="10"/>
        <v>0</v>
      </c>
    </row>
    <row r="97" spans="1:19" ht="12.75" customHeight="1" x14ac:dyDescent="0.25">
      <c r="A97" s="5"/>
      <c r="B97" s="33">
        <v>26</v>
      </c>
      <c r="C97" s="1" t="s">
        <v>56</v>
      </c>
      <c r="D97" s="1"/>
      <c r="E97" s="30">
        <f t="shared" si="11"/>
        <v>8395158.6899999995</v>
      </c>
      <c r="G97" s="52">
        <v>8078758.5099999998</v>
      </c>
      <c r="H97" s="51"/>
      <c r="I97" s="52">
        <v>97559.37</v>
      </c>
      <c r="J97" s="51"/>
      <c r="K97" s="52">
        <v>218840.81</v>
      </c>
      <c r="L97" s="51"/>
      <c r="M97" s="52">
        <v>6301381.6299999999</v>
      </c>
      <c r="N97" s="51"/>
      <c r="O97" s="52">
        <v>2093444.06</v>
      </c>
      <c r="P97" s="51"/>
      <c r="Q97" s="52">
        <v>-333</v>
      </c>
      <c r="R97" s="49">
        <f t="shared" si="9"/>
        <v>665.99999999953434</v>
      </c>
      <c r="S97" s="77">
        <f t="shared" si="10"/>
        <v>-4.6566128730773926E-10</v>
      </c>
    </row>
    <row r="98" spans="1:19" ht="12.75" customHeight="1" x14ac:dyDescent="0.25">
      <c r="A98" s="5"/>
      <c r="B98" s="33">
        <v>27</v>
      </c>
      <c r="C98" s="1" t="s">
        <v>57</v>
      </c>
      <c r="D98" s="1"/>
      <c r="E98" s="30">
        <f t="shared" si="11"/>
        <v>301499.15000000002</v>
      </c>
      <c r="G98" s="52">
        <v>130484.65</v>
      </c>
      <c r="H98" s="51"/>
      <c r="I98" s="52"/>
      <c r="J98" s="51"/>
      <c r="K98" s="52">
        <v>171014.5</v>
      </c>
      <c r="L98" s="51"/>
      <c r="M98" s="52">
        <v>56245.33</v>
      </c>
      <c r="N98" s="51"/>
      <c r="O98" s="52">
        <v>246953.82</v>
      </c>
      <c r="P98" s="51"/>
      <c r="Q98" s="52">
        <v>1700</v>
      </c>
      <c r="R98" s="49">
        <f t="shared" si="9"/>
        <v>-3400</v>
      </c>
      <c r="S98" s="77">
        <f t="shared" si="10"/>
        <v>0</v>
      </c>
    </row>
    <row r="99" spans="1:19" ht="12.75" customHeight="1" x14ac:dyDescent="0.25">
      <c r="A99" s="5"/>
      <c r="B99" s="33">
        <v>5</v>
      </c>
      <c r="C99" s="1" t="s">
        <v>269</v>
      </c>
      <c r="D99" s="1"/>
      <c r="E99" s="30">
        <f>SUM(G99:K99)</f>
        <v>204009.03000000003</v>
      </c>
      <c r="G99" s="52">
        <v>117877.81</v>
      </c>
      <c r="H99" s="51"/>
      <c r="I99" s="52">
        <v>85771.520000000004</v>
      </c>
      <c r="J99" s="51"/>
      <c r="K99" s="52">
        <v>359.7</v>
      </c>
      <c r="L99" s="51"/>
      <c r="M99" s="52">
        <v>114348.2</v>
      </c>
      <c r="N99" s="51"/>
      <c r="O99" s="52">
        <v>178001.16</v>
      </c>
      <c r="P99" s="51"/>
      <c r="Q99" s="52">
        <v>88340.33</v>
      </c>
      <c r="R99" s="49">
        <f>E99-M99-O99-Q99</f>
        <v>-176680.65999999997</v>
      </c>
      <c r="S99" s="77">
        <f t="shared" si="10"/>
        <v>0</v>
      </c>
    </row>
    <row r="100" spans="1:19" ht="12.75" customHeight="1" x14ac:dyDescent="0.25">
      <c r="A100" s="5"/>
      <c r="B100" s="33">
        <v>28</v>
      </c>
      <c r="C100" s="1" t="s">
        <v>58</v>
      </c>
      <c r="D100" s="1"/>
      <c r="E100" s="30">
        <f t="shared" si="11"/>
        <v>7411834.1400000006</v>
      </c>
      <c r="G100" s="52">
        <v>7292159.4500000002</v>
      </c>
      <c r="H100" s="51"/>
      <c r="I100" s="52">
        <v>20373.75</v>
      </c>
      <c r="J100" s="51"/>
      <c r="K100" s="52">
        <v>99300.94</v>
      </c>
      <c r="L100" s="51"/>
      <c r="M100" s="52">
        <v>4990836.6399999997</v>
      </c>
      <c r="N100" s="51"/>
      <c r="O100" s="52">
        <v>2419516.75</v>
      </c>
      <c r="P100" s="51"/>
      <c r="Q100" s="52">
        <v>-1480.75</v>
      </c>
      <c r="R100" s="49">
        <f t="shared" si="9"/>
        <v>2961.5000000009313</v>
      </c>
      <c r="S100" s="77">
        <f t="shared" si="10"/>
        <v>9.3132257461547852E-10</v>
      </c>
    </row>
    <row r="101" spans="1:19" ht="12.75" customHeight="1" x14ac:dyDescent="0.25">
      <c r="A101" s="5"/>
      <c r="B101" s="33">
        <v>29</v>
      </c>
      <c r="C101" s="1" t="s">
        <v>59</v>
      </c>
      <c r="D101" s="1"/>
      <c r="E101" s="30">
        <f t="shared" si="11"/>
        <v>2614920.1800000002</v>
      </c>
      <c r="G101" s="52">
        <v>2577730.62</v>
      </c>
      <c r="H101" s="51"/>
      <c r="I101" s="52">
        <v>3523.65</v>
      </c>
      <c r="J101" s="51"/>
      <c r="K101" s="52">
        <v>33665.910000000003</v>
      </c>
      <c r="L101" s="51"/>
      <c r="M101" s="52">
        <v>1738974.89</v>
      </c>
      <c r="N101" s="51"/>
      <c r="O101" s="52">
        <v>875913.29</v>
      </c>
      <c r="P101" s="51"/>
      <c r="Q101" s="52">
        <v>-32</v>
      </c>
      <c r="R101" s="49">
        <f t="shared" si="9"/>
        <v>64.000000000232831</v>
      </c>
      <c r="S101" s="77">
        <f t="shared" si="10"/>
        <v>2.3283064365386963E-10</v>
      </c>
    </row>
    <row r="102" spans="1:19" ht="12.75" customHeight="1" x14ac:dyDescent="0.25">
      <c r="A102" s="5"/>
      <c r="B102" s="33">
        <v>30</v>
      </c>
      <c r="C102" s="1" t="s">
        <v>60</v>
      </c>
      <c r="D102" s="1"/>
      <c r="E102" s="30">
        <f t="shared" si="11"/>
        <v>13122221.32</v>
      </c>
      <c r="G102" s="52">
        <v>11844102.810000001</v>
      </c>
      <c r="H102" s="51"/>
      <c r="I102" s="52">
        <v>381139.33</v>
      </c>
      <c r="J102" s="51"/>
      <c r="K102" s="52">
        <v>896979.18</v>
      </c>
      <c r="L102" s="51"/>
      <c r="M102" s="52">
        <v>9060448.5500000007</v>
      </c>
      <c r="N102" s="51"/>
      <c r="O102" s="52">
        <v>4959209.6900000004</v>
      </c>
      <c r="P102" s="51"/>
      <c r="Q102" s="52">
        <v>897436.92</v>
      </c>
      <c r="R102" s="49">
        <f t="shared" si="9"/>
        <v>-1794873.8400000008</v>
      </c>
      <c r="S102" s="77">
        <f t="shared" si="10"/>
        <v>0</v>
      </c>
    </row>
    <row r="103" spans="1:19" ht="12.75" customHeight="1" x14ac:dyDescent="0.25">
      <c r="A103" s="5"/>
      <c r="B103" s="33">
        <v>31</v>
      </c>
      <c r="C103" s="1" t="s">
        <v>61</v>
      </c>
      <c r="D103" s="1"/>
      <c r="E103" s="30">
        <f t="shared" si="11"/>
        <v>4062298.67</v>
      </c>
      <c r="G103" s="52">
        <v>4030498.39</v>
      </c>
      <c r="H103" s="51"/>
      <c r="I103" s="52">
        <v>17644.75</v>
      </c>
      <c r="J103" s="51"/>
      <c r="K103" s="52">
        <v>14155.53</v>
      </c>
      <c r="L103" s="51"/>
      <c r="M103" s="52">
        <v>2997040.71</v>
      </c>
      <c r="N103" s="51"/>
      <c r="O103" s="52">
        <v>1065017.96</v>
      </c>
      <c r="P103" s="51"/>
      <c r="Q103" s="52">
        <v>-240</v>
      </c>
      <c r="R103" s="49">
        <f t="shared" si="9"/>
        <v>480</v>
      </c>
      <c r="S103" s="77">
        <f t="shared" si="10"/>
        <v>0</v>
      </c>
    </row>
    <row r="104" spans="1:19" ht="12.75" customHeight="1" x14ac:dyDescent="0.25">
      <c r="A104" s="5"/>
      <c r="B104" s="33">
        <v>32</v>
      </c>
      <c r="C104" s="1" t="s">
        <v>62</v>
      </c>
      <c r="D104" s="1"/>
      <c r="E104" s="30">
        <f t="shared" si="11"/>
        <v>8015600.4299999997</v>
      </c>
      <c r="G104" s="52">
        <v>7835577.6699999999</v>
      </c>
      <c r="H104" s="51"/>
      <c r="I104" s="52">
        <v>152383.82999999999</v>
      </c>
      <c r="J104" s="51"/>
      <c r="K104" s="52">
        <v>27638.93</v>
      </c>
      <c r="L104" s="51"/>
      <c r="M104" s="52">
        <v>5813484.79</v>
      </c>
      <c r="N104" s="51"/>
      <c r="O104" s="52">
        <v>2317481.11</v>
      </c>
      <c r="P104" s="51"/>
      <c r="Q104" s="52">
        <v>115365.47</v>
      </c>
      <c r="R104" s="49">
        <f t="shared" si="9"/>
        <v>-230730.94000000021</v>
      </c>
      <c r="S104" s="77">
        <f t="shared" si="10"/>
        <v>-2.0372681319713593E-10</v>
      </c>
    </row>
    <row r="105" spans="1:19" ht="12.75" customHeight="1" x14ac:dyDescent="0.25">
      <c r="A105" s="5"/>
      <c r="B105" s="33">
        <v>33</v>
      </c>
      <c r="C105" s="1" t="s">
        <v>63</v>
      </c>
      <c r="D105" s="1"/>
      <c r="E105" s="30">
        <f t="shared" si="11"/>
        <v>5108957.5199999996</v>
      </c>
      <c r="G105" s="52">
        <v>4801025.12</v>
      </c>
      <c r="H105" s="51"/>
      <c r="I105" s="52">
        <v>6476.64</v>
      </c>
      <c r="J105" s="51"/>
      <c r="K105" s="52">
        <v>301455.76</v>
      </c>
      <c r="L105" s="51"/>
      <c r="M105" s="52">
        <v>3479909.73</v>
      </c>
      <c r="N105" s="51"/>
      <c r="O105" s="52">
        <v>1626351.29</v>
      </c>
      <c r="P105" s="51"/>
      <c r="Q105" s="52">
        <v>-2696.5</v>
      </c>
      <c r="R105" s="49">
        <f t="shared" si="9"/>
        <v>5392.9999999995343</v>
      </c>
      <c r="S105" s="77">
        <f t="shared" si="10"/>
        <v>-4.6566128730773926E-10</v>
      </c>
    </row>
    <row r="106" spans="1:19" ht="12.75" customHeight="1" x14ac:dyDescent="0.25">
      <c r="A106" s="5"/>
      <c r="B106" s="33">
        <v>34</v>
      </c>
      <c r="C106" s="1" t="s">
        <v>64</v>
      </c>
      <c r="D106" s="1"/>
      <c r="E106" s="30">
        <f t="shared" si="11"/>
        <v>9417865.1400000006</v>
      </c>
      <c r="G106" s="52">
        <v>9114642.6699999999</v>
      </c>
      <c r="H106" s="51"/>
      <c r="I106" s="52">
        <v>63613.57</v>
      </c>
      <c r="J106" s="51"/>
      <c r="K106" s="52">
        <v>239608.9</v>
      </c>
      <c r="L106" s="51"/>
      <c r="M106" s="52">
        <v>6717833.4199999999</v>
      </c>
      <c r="N106" s="51"/>
      <c r="O106" s="52">
        <v>2700005.72</v>
      </c>
      <c r="P106" s="51"/>
      <c r="Q106" s="52">
        <v>-26</v>
      </c>
      <c r="R106" s="49">
        <f t="shared" si="9"/>
        <v>52.000000000465661</v>
      </c>
      <c r="S106" s="77">
        <f t="shared" si="10"/>
        <v>4.6566128730773926E-10</v>
      </c>
    </row>
    <row r="107" spans="1:19" ht="12.75" customHeight="1" x14ac:dyDescent="0.25">
      <c r="A107" s="5"/>
      <c r="B107" s="33">
        <v>35</v>
      </c>
      <c r="C107" s="1" t="s">
        <v>65</v>
      </c>
      <c r="D107" s="1"/>
      <c r="E107" s="30">
        <f t="shared" si="11"/>
        <v>3557822.96</v>
      </c>
      <c r="G107" s="52">
        <v>3421776.27</v>
      </c>
      <c r="H107" s="51"/>
      <c r="I107" s="52">
        <v>59173.37</v>
      </c>
      <c r="J107" s="51"/>
      <c r="K107" s="52">
        <v>76873.320000000007</v>
      </c>
      <c r="L107" s="51"/>
      <c r="M107" s="52">
        <v>2469093.25</v>
      </c>
      <c r="N107" s="51"/>
      <c r="O107" s="52">
        <v>1088469.71</v>
      </c>
      <c r="P107" s="51"/>
      <c r="Q107" s="52">
        <v>-260</v>
      </c>
      <c r="R107" s="49">
        <f t="shared" si="9"/>
        <v>520</v>
      </c>
      <c r="S107" s="77">
        <f t="shared" si="10"/>
        <v>0</v>
      </c>
    </row>
    <row r="108" spans="1:19" ht="12.75" customHeight="1" x14ac:dyDescent="0.25">
      <c r="A108" s="5"/>
      <c r="B108" s="33">
        <v>36</v>
      </c>
      <c r="C108" s="1" t="s">
        <v>270</v>
      </c>
      <c r="D108" s="1"/>
      <c r="E108" s="30">
        <f t="shared" si="11"/>
        <v>29323.010000000002</v>
      </c>
      <c r="G108" s="52">
        <v>2746.75</v>
      </c>
      <c r="H108" s="51"/>
      <c r="I108" s="52">
        <v>24927.61</v>
      </c>
      <c r="J108" s="51"/>
      <c r="K108" s="52">
        <v>1648.65</v>
      </c>
      <c r="L108" s="51"/>
      <c r="M108" s="52">
        <v>4607.8</v>
      </c>
      <c r="N108" s="51"/>
      <c r="O108" s="52">
        <v>24099.21</v>
      </c>
      <c r="P108" s="51"/>
      <c r="Q108" s="52">
        <v>-616</v>
      </c>
      <c r="R108" s="49">
        <f t="shared" si="9"/>
        <v>1232.0000000000036</v>
      </c>
      <c r="S108" s="77">
        <f t="shared" si="10"/>
        <v>3.637978807091713E-12</v>
      </c>
    </row>
    <row r="109" spans="1:19" ht="12.75" customHeight="1" x14ac:dyDescent="0.25">
      <c r="A109" s="5"/>
      <c r="B109" s="33">
        <v>37</v>
      </c>
      <c r="C109" s="1" t="s">
        <v>66</v>
      </c>
      <c r="D109" s="1"/>
      <c r="E109" s="30">
        <f t="shared" si="11"/>
        <v>3951926.8800000004</v>
      </c>
      <c r="G109" s="52">
        <v>3787796.66</v>
      </c>
      <c r="H109" s="51"/>
      <c r="I109" s="52">
        <v>136174.51999999999</v>
      </c>
      <c r="J109" s="51"/>
      <c r="K109" s="52">
        <v>27955.7</v>
      </c>
      <c r="L109" s="51"/>
      <c r="M109" s="52">
        <v>2934771.15</v>
      </c>
      <c r="N109" s="51"/>
      <c r="O109" s="52">
        <v>1016482.23</v>
      </c>
      <c r="P109" s="51"/>
      <c r="Q109" s="52">
        <v>-673.5</v>
      </c>
      <c r="R109" s="49">
        <f t="shared" si="9"/>
        <v>1347.0000000004657</v>
      </c>
      <c r="S109" s="77">
        <f t="shared" si="10"/>
        <v>4.6566128730773926E-10</v>
      </c>
    </row>
    <row r="110" spans="1:19" ht="12.75" customHeight="1" x14ac:dyDescent="0.25">
      <c r="A110" s="5"/>
      <c r="B110" s="33">
        <v>38</v>
      </c>
      <c r="C110" s="1" t="s">
        <v>67</v>
      </c>
      <c r="D110" s="1"/>
      <c r="E110" s="30">
        <f t="shared" si="11"/>
        <v>-258.87</v>
      </c>
      <c r="G110" s="52">
        <v>-258.87</v>
      </c>
      <c r="H110" s="51"/>
      <c r="I110" s="52"/>
      <c r="J110" s="51"/>
      <c r="K110" s="52"/>
      <c r="L110" s="51"/>
      <c r="M110" s="52"/>
      <c r="N110" s="51"/>
      <c r="O110" s="52">
        <v>-258.87</v>
      </c>
      <c r="P110" s="51"/>
      <c r="Q110" s="52"/>
      <c r="R110" s="49">
        <f t="shared" si="9"/>
        <v>0</v>
      </c>
      <c r="S110" s="77">
        <f t="shared" si="10"/>
        <v>0</v>
      </c>
    </row>
    <row r="111" spans="1:19" ht="12.75" customHeight="1" x14ac:dyDescent="0.25">
      <c r="A111" s="5"/>
      <c r="B111" s="33">
        <v>39</v>
      </c>
      <c r="C111" s="1" t="s">
        <v>226</v>
      </c>
      <c r="D111" s="1"/>
      <c r="E111" s="34">
        <f t="shared" si="11"/>
        <v>2113633.5300000003</v>
      </c>
      <c r="G111" s="52">
        <v>2088657.74</v>
      </c>
      <c r="H111" s="51"/>
      <c r="I111" s="52">
        <v>16572.150000000001</v>
      </c>
      <c r="J111" s="51"/>
      <c r="K111" s="52">
        <v>8403.64</v>
      </c>
      <c r="L111" s="51"/>
      <c r="M111" s="52">
        <v>1490443.26</v>
      </c>
      <c r="N111" s="51"/>
      <c r="O111" s="52">
        <v>623190.27</v>
      </c>
      <c r="P111" s="51"/>
      <c r="Q111" s="52"/>
      <c r="R111" s="49">
        <f t="shared" si="9"/>
        <v>2.3283064365386963E-10</v>
      </c>
      <c r="S111" s="77">
        <f t="shared" si="10"/>
        <v>2.3283064365386963E-10</v>
      </c>
    </row>
    <row r="112" spans="1:19" s="69" customFormat="1" ht="12.75" customHeight="1" x14ac:dyDescent="0.25">
      <c r="A112" s="65"/>
      <c r="B112" s="66">
        <v>40</v>
      </c>
      <c r="C112" s="67" t="s">
        <v>68</v>
      </c>
      <c r="D112" s="68"/>
      <c r="E112" s="49">
        <f>G112+I112+K112</f>
        <v>4276254.3499999996</v>
      </c>
      <c r="F112" s="40"/>
      <c r="G112" s="52">
        <v>4207155.1100000003</v>
      </c>
      <c r="H112" s="51"/>
      <c r="I112" s="52">
        <v>51946.720000000001</v>
      </c>
      <c r="J112" s="51"/>
      <c r="K112" s="52">
        <v>17152.52</v>
      </c>
      <c r="L112" s="51"/>
      <c r="M112" s="52">
        <v>2832566.21</v>
      </c>
      <c r="N112" s="51"/>
      <c r="O112" s="52">
        <v>1443640.14</v>
      </c>
      <c r="P112" s="51"/>
      <c r="Q112" s="52">
        <v>-48</v>
      </c>
      <c r="R112" s="49">
        <f>E112-M112-O112-Q112</f>
        <v>95.999999999767169</v>
      </c>
      <c r="S112" s="77">
        <f t="shared" si="10"/>
        <v>-2.3283064365386963E-10</v>
      </c>
    </row>
    <row r="113" spans="1:19" ht="12.75" customHeight="1" x14ac:dyDescent="0.25">
      <c r="A113" s="5"/>
      <c r="B113" s="33">
        <v>40</v>
      </c>
      <c r="C113" s="3" t="s">
        <v>283</v>
      </c>
      <c r="D113" s="4"/>
      <c r="E113" s="54">
        <f>G113+I113+K113</f>
        <v>0</v>
      </c>
      <c r="G113" s="53">
        <v>-88815821.25</v>
      </c>
      <c r="H113" s="51"/>
      <c r="I113" s="53">
        <v>88815821.25</v>
      </c>
      <c r="J113" s="51"/>
      <c r="K113" s="53"/>
      <c r="L113" s="51"/>
      <c r="M113" s="53"/>
      <c r="N113" s="51"/>
      <c r="O113" s="53"/>
      <c r="P113" s="51"/>
      <c r="Q113" s="53"/>
      <c r="R113" s="49">
        <f>E113-M113-O113-Q113</f>
        <v>0</v>
      </c>
      <c r="S113" s="77">
        <f t="shared" si="10"/>
        <v>0</v>
      </c>
    </row>
    <row r="114" spans="1:19" ht="12.75" customHeight="1" x14ac:dyDescent="0.25">
      <c r="A114" s="5"/>
      <c r="B114" s="33"/>
    </row>
    <row r="115" spans="1:19" ht="12.75" customHeight="1" x14ac:dyDescent="0.25">
      <c r="A115" s="5"/>
      <c r="B115" s="5"/>
      <c r="C115" s="5"/>
      <c r="D115" s="1" t="s">
        <v>2</v>
      </c>
      <c r="E115" s="6">
        <f>G115+I115+K115</f>
        <v>181728823.59</v>
      </c>
      <c r="G115" s="6">
        <f>SUM(G73:G113)</f>
        <v>84279568.180000007</v>
      </c>
      <c r="I115" s="6">
        <f>SUM(I73:I113)</f>
        <v>92151690.099999994</v>
      </c>
      <c r="K115" s="6">
        <f>SUM(K73:K113)</f>
        <v>5297565.3100000015</v>
      </c>
      <c r="M115" s="6">
        <f>SUM(M73:M113)</f>
        <v>125794007.26000001</v>
      </c>
      <c r="O115" s="6">
        <f>SUM(O73:O113)</f>
        <v>57933625.969999999</v>
      </c>
      <c r="Q115" s="6">
        <f>SUM(Q73:Q113)</f>
        <v>1998809.64</v>
      </c>
      <c r="R115" s="49">
        <f>E115-M115-O115-Q115</f>
        <v>-3997619.2800000003</v>
      </c>
      <c r="S115" s="77">
        <f>E115-M115-O115+Q115</f>
        <v>0</v>
      </c>
    </row>
    <row r="116" spans="1:19" ht="12.75" customHeight="1" x14ac:dyDescent="0.25">
      <c r="A116" s="33"/>
      <c r="G116" s="74"/>
    </row>
    <row r="117" spans="1:19" ht="12.75" customHeight="1" x14ac:dyDescent="0.25">
      <c r="A117" s="5"/>
      <c r="B117" s="1" t="s">
        <v>14</v>
      </c>
      <c r="G117" s="37"/>
      <c r="H117" s="37"/>
      <c r="I117" s="37"/>
      <c r="J117" s="37"/>
      <c r="K117" s="37"/>
      <c r="L117" s="37"/>
      <c r="M117" s="37"/>
      <c r="N117" s="37"/>
      <c r="O117" s="37"/>
    </row>
    <row r="118" spans="1:19" ht="12.75" customHeight="1" x14ac:dyDescent="0.25">
      <c r="A118" s="5"/>
      <c r="B118" s="5">
        <v>1</v>
      </c>
      <c r="C118" s="1" t="s">
        <v>32</v>
      </c>
      <c r="D118" s="1"/>
      <c r="E118" s="30">
        <f t="shared" ref="E118:E137" si="12">SUM(G118:K118)</f>
        <v>111535.36</v>
      </c>
      <c r="G118" s="52">
        <v>19989.02</v>
      </c>
      <c r="H118" s="51"/>
      <c r="I118" s="52">
        <v>70319.149999999994</v>
      </c>
      <c r="J118" s="51"/>
      <c r="K118" s="52">
        <v>21227.19</v>
      </c>
      <c r="L118" s="51"/>
      <c r="M118" s="52">
        <v>74485.960000000006</v>
      </c>
      <c r="N118" s="51"/>
      <c r="O118" s="52">
        <v>37049.4</v>
      </c>
      <c r="P118" s="51"/>
      <c r="Q118" s="52"/>
      <c r="R118" s="49">
        <f t="shared" ref="R118:R172" si="13">E118-M118-O118-Q118</f>
        <v>-7.2759576141834259E-12</v>
      </c>
      <c r="S118" s="77">
        <f t="shared" ref="S118:S156" si="14">E118-M118-O118+Q118</f>
        <v>-7.2759576141834259E-12</v>
      </c>
    </row>
    <row r="119" spans="1:19" ht="12.75" customHeight="1" x14ac:dyDescent="0.25">
      <c r="A119" s="5"/>
      <c r="B119" s="5">
        <v>2</v>
      </c>
      <c r="C119" s="1" t="s">
        <v>33</v>
      </c>
      <c r="D119" s="1"/>
      <c r="E119" s="30">
        <f t="shared" si="12"/>
        <v>91824.73</v>
      </c>
      <c r="G119" s="52">
        <v>125.23</v>
      </c>
      <c r="H119" s="51"/>
      <c r="I119" s="52"/>
      <c r="J119" s="51"/>
      <c r="K119" s="52">
        <v>91699.5</v>
      </c>
      <c r="L119" s="51"/>
      <c r="M119" s="52">
        <v>70395.679999999993</v>
      </c>
      <c r="N119" s="51"/>
      <c r="O119" s="52">
        <v>21429.05</v>
      </c>
      <c r="P119" s="51"/>
      <c r="Q119" s="52"/>
      <c r="R119" s="49">
        <f t="shared" si="13"/>
        <v>3.637978807091713E-12</v>
      </c>
      <c r="S119" s="77">
        <f t="shared" si="14"/>
        <v>3.637978807091713E-12</v>
      </c>
    </row>
    <row r="120" spans="1:19" ht="12.75" customHeight="1" x14ac:dyDescent="0.25">
      <c r="A120" s="5"/>
      <c r="B120" s="5">
        <v>3</v>
      </c>
      <c r="C120" s="1" t="s">
        <v>69</v>
      </c>
      <c r="D120" s="1"/>
      <c r="E120" s="30">
        <f t="shared" si="12"/>
        <v>-12525.52</v>
      </c>
      <c r="G120" s="52"/>
      <c r="H120" s="51"/>
      <c r="I120" s="52">
        <v>-12525.52</v>
      </c>
      <c r="J120" s="51"/>
      <c r="K120" s="52"/>
      <c r="L120" s="51"/>
      <c r="M120" s="52"/>
      <c r="N120" s="51"/>
      <c r="O120" s="52">
        <f>-12525.52</f>
        <v>-12525.52</v>
      </c>
      <c r="P120" s="51"/>
      <c r="Q120" s="52"/>
      <c r="R120" s="49">
        <f t="shared" si="13"/>
        <v>0</v>
      </c>
      <c r="S120" s="77">
        <f t="shared" si="14"/>
        <v>0</v>
      </c>
    </row>
    <row r="121" spans="1:19" ht="12.75" customHeight="1" x14ac:dyDescent="0.25">
      <c r="A121" s="5"/>
      <c r="B121" s="5">
        <v>4</v>
      </c>
      <c r="C121" s="1" t="s">
        <v>34</v>
      </c>
      <c r="D121" s="1"/>
      <c r="E121" s="30">
        <f t="shared" si="12"/>
        <v>11555.15</v>
      </c>
      <c r="G121" s="52">
        <v>3534.7</v>
      </c>
      <c r="H121" s="51"/>
      <c r="I121" s="52">
        <v>8020.45</v>
      </c>
      <c r="J121" s="51"/>
      <c r="K121" s="52"/>
      <c r="L121" s="51"/>
      <c r="M121" s="52">
        <v>6216.5</v>
      </c>
      <c r="N121" s="51"/>
      <c r="O121" s="52">
        <v>5338.65</v>
      </c>
      <c r="P121" s="51"/>
      <c r="Q121" s="52"/>
      <c r="R121" s="49">
        <f t="shared" si="13"/>
        <v>0</v>
      </c>
      <c r="S121" s="77">
        <f t="shared" si="14"/>
        <v>0</v>
      </c>
    </row>
    <row r="122" spans="1:19" ht="12.75" customHeight="1" x14ac:dyDescent="0.25">
      <c r="A122" s="5"/>
      <c r="B122" s="5">
        <v>5</v>
      </c>
      <c r="C122" s="1" t="s">
        <v>35</v>
      </c>
      <c r="D122" s="1"/>
      <c r="E122" s="30">
        <f t="shared" si="12"/>
        <v>27517.739999999998</v>
      </c>
      <c r="G122" s="52">
        <v>13411.97</v>
      </c>
      <c r="H122" s="51"/>
      <c r="I122" s="52">
        <v>9736.31</v>
      </c>
      <c r="J122" s="51"/>
      <c r="K122" s="52">
        <v>4369.46</v>
      </c>
      <c r="L122" s="51"/>
      <c r="M122" s="52">
        <v>7726.24</v>
      </c>
      <c r="N122" s="51"/>
      <c r="O122" s="52">
        <v>19791.5</v>
      </c>
      <c r="P122" s="51"/>
      <c r="Q122" s="52"/>
      <c r="R122" s="49">
        <f t="shared" si="13"/>
        <v>0</v>
      </c>
      <c r="S122" s="77">
        <f t="shared" si="14"/>
        <v>0</v>
      </c>
    </row>
    <row r="123" spans="1:19" ht="12.75" customHeight="1" x14ac:dyDescent="0.25">
      <c r="A123" s="5"/>
      <c r="B123" s="5">
        <v>6</v>
      </c>
      <c r="C123" s="1" t="s">
        <v>36</v>
      </c>
      <c r="D123" s="1"/>
      <c r="E123" s="30">
        <f t="shared" si="12"/>
        <v>3539083.45</v>
      </c>
      <c r="G123" s="52">
        <v>99264.8</v>
      </c>
      <c r="H123" s="51"/>
      <c r="I123" s="52">
        <v>86709.440000000002</v>
      </c>
      <c r="J123" s="51"/>
      <c r="K123" s="52">
        <v>3353109.21</v>
      </c>
      <c r="L123" s="51"/>
      <c r="M123" s="52">
        <v>1733639.09</v>
      </c>
      <c r="N123" s="51"/>
      <c r="O123" s="52">
        <v>1805324.36</v>
      </c>
      <c r="P123" s="51"/>
      <c r="Q123" s="52">
        <v>-120</v>
      </c>
      <c r="R123" s="49">
        <f t="shared" si="13"/>
        <v>240</v>
      </c>
      <c r="S123" s="77">
        <f t="shared" si="14"/>
        <v>0</v>
      </c>
    </row>
    <row r="124" spans="1:19" ht="12.75" customHeight="1" x14ac:dyDescent="0.25">
      <c r="A124" s="5"/>
      <c r="B124" s="5">
        <v>7</v>
      </c>
      <c r="C124" s="1" t="s">
        <v>37</v>
      </c>
      <c r="D124" s="1"/>
      <c r="E124" s="30">
        <f t="shared" si="12"/>
        <v>-22798.15</v>
      </c>
      <c r="G124" s="52">
        <v>9046.0499999999993</v>
      </c>
      <c r="H124" s="51"/>
      <c r="I124" s="52">
        <v>-31844.2</v>
      </c>
      <c r="J124" s="51"/>
      <c r="K124" s="52"/>
      <c r="L124" s="51"/>
      <c r="M124" s="52">
        <v>-21100.799999999999</v>
      </c>
      <c r="N124" s="51"/>
      <c r="O124" s="52">
        <v>-1697.35</v>
      </c>
      <c r="P124" s="51"/>
      <c r="Q124" s="52"/>
      <c r="R124" s="49">
        <f t="shared" si="13"/>
        <v>-2.2737367544323206E-12</v>
      </c>
      <c r="S124" s="77">
        <f t="shared" si="14"/>
        <v>-2.2737367544323206E-12</v>
      </c>
    </row>
    <row r="125" spans="1:19" ht="12.75" customHeight="1" x14ac:dyDescent="0.25">
      <c r="A125" s="5"/>
      <c r="B125" s="5">
        <v>8</v>
      </c>
      <c r="C125" s="1" t="s">
        <v>38</v>
      </c>
      <c r="D125" s="1"/>
      <c r="E125" s="30">
        <f t="shared" si="12"/>
        <v>5024630.12</v>
      </c>
      <c r="G125" s="52">
        <v>113843.29</v>
      </c>
      <c r="H125" s="51"/>
      <c r="I125" s="52">
        <v>21597.46</v>
      </c>
      <c r="J125" s="51"/>
      <c r="K125" s="52">
        <v>4889189.37</v>
      </c>
      <c r="L125" s="51"/>
      <c r="M125" s="52">
        <v>2297697.2999999998</v>
      </c>
      <c r="N125" s="51"/>
      <c r="O125" s="52">
        <v>2726868.82</v>
      </c>
      <c r="P125" s="51"/>
      <c r="Q125" s="52">
        <v>-64</v>
      </c>
      <c r="R125" s="49">
        <f t="shared" si="13"/>
        <v>128.00000000046566</v>
      </c>
      <c r="S125" s="77">
        <f t="shared" si="14"/>
        <v>4.6566128730773926E-10</v>
      </c>
    </row>
    <row r="126" spans="1:19" ht="12.75" customHeight="1" x14ac:dyDescent="0.25">
      <c r="A126" s="5"/>
      <c r="B126" s="5">
        <v>9</v>
      </c>
      <c r="C126" s="1" t="s">
        <v>39</v>
      </c>
      <c r="D126" s="1"/>
      <c r="E126" s="30">
        <f t="shared" si="12"/>
        <v>5008.3999999999996</v>
      </c>
      <c r="G126" s="52">
        <v>3032.01</v>
      </c>
      <c r="H126" s="51"/>
      <c r="I126" s="52">
        <v>514.42999999999995</v>
      </c>
      <c r="J126" s="51"/>
      <c r="K126" s="52">
        <v>1461.96</v>
      </c>
      <c r="L126" s="51"/>
      <c r="M126" s="52">
        <v>-230.53</v>
      </c>
      <c r="N126" s="51"/>
      <c r="O126" s="52">
        <v>5238.93</v>
      </c>
      <c r="P126" s="51"/>
      <c r="Q126" s="52"/>
      <c r="R126" s="49">
        <f t="shared" si="13"/>
        <v>-9.0949470177292824E-13</v>
      </c>
      <c r="S126" s="77">
        <f t="shared" si="14"/>
        <v>-9.0949470177292824E-13</v>
      </c>
    </row>
    <row r="127" spans="1:19" ht="12.75" customHeight="1" x14ac:dyDescent="0.25">
      <c r="A127" s="5"/>
      <c r="B127" s="5">
        <v>10</v>
      </c>
      <c r="C127" s="1" t="s">
        <v>40</v>
      </c>
      <c r="D127" s="1"/>
      <c r="E127" s="30">
        <f t="shared" si="12"/>
        <v>1294.3800000000001</v>
      </c>
      <c r="G127" s="52">
        <v>1294.3800000000001</v>
      </c>
      <c r="H127" s="51"/>
      <c r="I127" s="52"/>
      <c r="J127" s="51"/>
      <c r="K127" s="52"/>
      <c r="L127" s="51"/>
      <c r="M127" s="52"/>
      <c r="N127" s="51"/>
      <c r="O127" s="52">
        <v>1294.3800000000001</v>
      </c>
      <c r="P127" s="51"/>
      <c r="Q127" s="52"/>
      <c r="R127" s="49">
        <f t="shared" si="13"/>
        <v>0</v>
      </c>
      <c r="S127" s="77">
        <f t="shared" si="14"/>
        <v>0</v>
      </c>
    </row>
    <row r="128" spans="1:19" ht="12.75" customHeight="1" x14ac:dyDescent="0.25">
      <c r="A128" s="5"/>
      <c r="B128" s="5">
        <v>11</v>
      </c>
      <c r="C128" s="1" t="s">
        <v>178</v>
      </c>
      <c r="D128" s="1"/>
      <c r="E128" s="30">
        <f t="shared" si="12"/>
        <v>4084.11</v>
      </c>
      <c r="G128" s="52">
        <v>4058.98</v>
      </c>
      <c r="H128" s="51"/>
      <c r="I128" s="52">
        <v>25.13</v>
      </c>
      <c r="J128" s="51"/>
      <c r="K128" s="52"/>
      <c r="L128" s="51"/>
      <c r="M128" s="52"/>
      <c r="N128" s="51"/>
      <c r="O128" s="52">
        <v>4084.11</v>
      </c>
      <c r="P128" s="51"/>
      <c r="Q128" s="52"/>
      <c r="R128" s="49">
        <f t="shared" si="13"/>
        <v>0</v>
      </c>
      <c r="S128" s="77">
        <f t="shared" si="14"/>
        <v>0</v>
      </c>
    </row>
    <row r="129" spans="1:19" ht="12.75" customHeight="1" x14ac:dyDescent="0.25">
      <c r="A129" s="5"/>
      <c r="B129" s="5">
        <v>12</v>
      </c>
      <c r="C129" s="1" t="s">
        <v>41</v>
      </c>
      <c r="D129" s="1"/>
      <c r="E129" s="30">
        <f t="shared" si="12"/>
        <v>74826.040000000008</v>
      </c>
      <c r="G129" s="52">
        <v>3406.13</v>
      </c>
      <c r="H129" s="51"/>
      <c r="I129" s="52">
        <v>6095.01</v>
      </c>
      <c r="J129" s="51"/>
      <c r="K129" s="52">
        <v>65324.9</v>
      </c>
      <c r="L129" s="51"/>
      <c r="M129" s="52">
        <v>66799.929999999993</v>
      </c>
      <c r="N129" s="51"/>
      <c r="O129" s="52">
        <v>8026.11</v>
      </c>
      <c r="P129" s="51"/>
      <c r="Q129" s="52"/>
      <c r="R129" s="49">
        <f t="shared" si="13"/>
        <v>1.546140993013978E-11</v>
      </c>
      <c r="S129" s="77">
        <f t="shared" si="14"/>
        <v>1.546140993013978E-11</v>
      </c>
    </row>
    <row r="130" spans="1:19" ht="12.75" customHeight="1" x14ac:dyDescent="0.25">
      <c r="A130" s="5"/>
      <c r="B130" s="5">
        <v>13</v>
      </c>
      <c r="C130" s="1" t="s">
        <v>42</v>
      </c>
      <c r="D130" s="1"/>
      <c r="E130" s="30">
        <f t="shared" si="12"/>
        <v>29714.45</v>
      </c>
      <c r="G130" s="52">
        <v>7140.77</v>
      </c>
      <c r="H130" s="51"/>
      <c r="I130" s="52">
        <v>22573.68</v>
      </c>
      <c r="J130" s="51"/>
      <c r="K130" s="52"/>
      <c r="L130" s="51"/>
      <c r="M130" s="52">
        <v>600</v>
      </c>
      <c r="N130" s="51"/>
      <c r="O130" s="52">
        <v>29114.45</v>
      </c>
      <c r="P130" s="51"/>
      <c r="Q130" s="52"/>
      <c r="R130" s="49">
        <f t="shared" si="13"/>
        <v>0</v>
      </c>
      <c r="S130" s="77">
        <f t="shared" si="14"/>
        <v>0</v>
      </c>
    </row>
    <row r="131" spans="1:19" ht="12.75" customHeight="1" x14ac:dyDescent="0.25">
      <c r="A131" s="5"/>
      <c r="B131" s="5">
        <v>14</v>
      </c>
      <c r="C131" s="1" t="s">
        <v>43</v>
      </c>
      <c r="D131" s="1"/>
      <c r="E131" s="30">
        <f t="shared" si="12"/>
        <v>389923.27</v>
      </c>
      <c r="G131" s="52">
        <v>301270.34000000003</v>
      </c>
      <c r="H131" s="51"/>
      <c r="I131" s="52">
        <v>88652.93</v>
      </c>
      <c r="J131" s="51"/>
      <c r="K131" s="52"/>
      <c r="L131" s="51"/>
      <c r="M131" s="52">
        <v>228520.02</v>
      </c>
      <c r="N131" s="51"/>
      <c r="O131" s="52">
        <v>161154.25</v>
      </c>
      <c r="P131" s="51"/>
      <c r="Q131" s="52">
        <v>-249</v>
      </c>
      <c r="R131" s="49">
        <f t="shared" si="13"/>
        <v>498.0000000000291</v>
      </c>
      <c r="S131" s="77">
        <f t="shared" si="14"/>
        <v>2.9103830456733704E-11</v>
      </c>
    </row>
    <row r="132" spans="1:19" ht="12.75" customHeight="1" x14ac:dyDescent="0.25">
      <c r="A132" s="5"/>
      <c r="B132" s="5">
        <v>15</v>
      </c>
      <c r="C132" s="1" t="s">
        <v>44</v>
      </c>
      <c r="D132" s="1"/>
      <c r="E132" s="30">
        <f t="shared" si="12"/>
        <v>64583.88</v>
      </c>
      <c r="G132" s="52">
        <v>49949.77</v>
      </c>
      <c r="H132" s="51"/>
      <c r="I132" s="52">
        <v>14634.11</v>
      </c>
      <c r="J132" s="51"/>
      <c r="K132" s="52"/>
      <c r="L132" s="51"/>
      <c r="M132" s="52">
        <v>49837.120000000003</v>
      </c>
      <c r="N132" s="51"/>
      <c r="O132" s="52">
        <v>14746.76</v>
      </c>
      <c r="P132" s="51"/>
      <c r="Q132" s="52"/>
      <c r="R132" s="49">
        <f t="shared" si="13"/>
        <v>-5.4569682106375694E-12</v>
      </c>
      <c r="S132" s="77">
        <f t="shared" si="14"/>
        <v>-5.4569682106375694E-12</v>
      </c>
    </row>
    <row r="133" spans="1:19" ht="12.75" customHeight="1" x14ac:dyDescent="0.25">
      <c r="A133" s="5"/>
      <c r="B133" s="5">
        <v>16</v>
      </c>
      <c r="C133" s="1" t="s">
        <v>45</v>
      </c>
      <c r="D133" s="1"/>
      <c r="E133" s="30">
        <f t="shared" si="12"/>
        <v>5448.76</v>
      </c>
      <c r="G133" s="52">
        <v>5448.76</v>
      </c>
      <c r="H133" s="51"/>
      <c r="I133" s="52"/>
      <c r="J133" s="51"/>
      <c r="K133" s="52"/>
      <c r="L133" s="51"/>
      <c r="M133" s="52"/>
      <c r="N133" s="51"/>
      <c r="O133" s="52">
        <v>5448.76</v>
      </c>
      <c r="P133" s="51"/>
      <c r="Q133" s="52"/>
      <c r="R133" s="49">
        <f t="shared" si="13"/>
        <v>0</v>
      </c>
      <c r="S133" s="77">
        <f t="shared" si="14"/>
        <v>0</v>
      </c>
    </row>
    <row r="134" spans="1:19" ht="12.75" customHeight="1" x14ac:dyDescent="0.25">
      <c r="A134" s="5"/>
      <c r="B134" s="5">
        <v>17</v>
      </c>
      <c r="C134" s="1" t="s">
        <v>46</v>
      </c>
      <c r="D134" s="1"/>
      <c r="E134" s="30">
        <f t="shared" si="12"/>
        <v>12994.97</v>
      </c>
      <c r="G134" s="52">
        <v>2902.16</v>
      </c>
      <c r="H134" s="51"/>
      <c r="I134" s="52">
        <v>10092.81</v>
      </c>
      <c r="J134" s="51"/>
      <c r="K134" s="52"/>
      <c r="L134" s="51"/>
      <c r="M134" s="52">
        <v>90</v>
      </c>
      <c r="N134" s="51"/>
      <c r="O134" s="52">
        <v>12904.97</v>
      </c>
      <c r="P134" s="51"/>
      <c r="Q134" s="52"/>
      <c r="R134" s="49">
        <f t="shared" si="13"/>
        <v>0</v>
      </c>
      <c r="S134" s="77">
        <f t="shared" si="14"/>
        <v>0</v>
      </c>
    </row>
    <row r="135" spans="1:19" ht="12.75" customHeight="1" x14ac:dyDescent="0.25">
      <c r="A135" s="5"/>
      <c r="B135" s="5">
        <v>18</v>
      </c>
      <c r="C135" s="1" t="s">
        <v>47</v>
      </c>
      <c r="D135" s="1"/>
      <c r="E135" s="30">
        <f t="shared" si="12"/>
        <v>7167.44</v>
      </c>
      <c r="G135" s="52">
        <v>7167.44</v>
      </c>
      <c r="H135" s="51"/>
      <c r="I135" s="52"/>
      <c r="J135" s="51"/>
      <c r="K135" s="52"/>
      <c r="L135" s="51"/>
      <c r="M135" s="52">
        <v>990</v>
      </c>
      <c r="N135" s="51"/>
      <c r="O135" s="52">
        <v>6177.44</v>
      </c>
      <c r="P135" s="51"/>
      <c r="Q135" s="52"/>
      <c r="R135" s="49">
        <f t="shared" si="13"/>
        <v>0</v>
      </c>
      <c r="S135" s="77">
        <f t="shared" si="14"/>
        <v>0</v>
      </c>
    </row>
    <row r="136" spans="1:19" ht="12.75" customHeight="1" x14ac:dyDescent="0.25">
      <c r="A136" s="5"/>
      <c r="B136" s="5">
        <v>19</v>
      </c>
      <c r="C136" s="1" t="s">
        <v>48</v>
      </c>
      <c r="D136" s="1"/>
      <c r="E136" s="30">
        <f t="shared" si="12"/>
        <v>2167332.65</v>
      </c>
      <c r="G136" s="52">
        <v>29158.47</v>
      </c>
      <c r="H136" s="51"/>
      <c r="I136" s="52">
        <v>126488.04</v>
      </c>
      <c r="J136" s="51"/>
      <c r="K136" s="52">
        <v>2011686.14</v>
      </c>
      <c r="L136" s="51"/>
      <c r="M136" s="52">
        <v>942952.78</v>
      </c>
      <c r="N136" s="51"/>
      <c r="O136" s="52">
        <v>1224379.8700000001</v>
      </c>
      <c r="P136" s="51"/>
      <c r="Q136" s="52"/>
      <c r="R136" s="49">
        <f t="shared" si="13"/>
        <v>-2.3283064365386963E-10</v>
      </c>
      <c r="S136" s="77">
        <f t="shared" si="14"/>
        <v>-2.3283064365386963E-10</v>
      </c>
    </row>
    <row r="137" spans="1:19" ht="12.75" customHeight="1" x14ac:dyDescent="0.25">
      <c r="A137" s="5"/>
      <c r="B137" s="5">
        <v>20</v>
      </c>
      <c r="C137" s="1" t="s">
        <v>49</v>
      </c>
      <c r="D137" s="1"/>
      <c r="E137" s="30">
        <f t="shared" si="12"/>
        <v>34623.9</v>
      </c>
      <c r="G137" s="52">
        <v>18029.580000000002</v>
      </c>
      <c r="H137" s="51"/>
      <c r="I137" s="52">
        <v>15027.89</v>
      </c>
      <c r="J137" s="51"/>
      <c r="K137" s="52">
        <v>1566.43</v>
      </c>
      <c r="L137" s="51"/>
      <c r="M137" s="52">
        <v>3789.83</v>
      </c>
      <c r="N137" s="51"/>
      <c r="O137" s="52">
        <v>30834.07</v>
      </c>
      <c r="P137" s="51"/>
      <c r="Q137" s="52"/>
      <c r="R137" s="49">
        <f t="shared" si="13"/>
        <v>0</v>
      </c>
      <c r="S137" s="77">
        <f t="shared" si="14"/>
        <v>0</v>
      </c>
    </row>
    <row r="138" spans="1:19" ht="12.75" customHeight="1" x14ac:dyDescent="0.25">
      <c r="A138" s="5"/>
      <c r="B138" s="5">
        <v>21</v>
      </c>
      <c r="C138" s="1" t="s">
        <v>50</v>
      </c>
      <c r="D138" s="1"/>
      <c r="G138" s="52"/>
      <c r="H138" s="51"/>
      <c r="I138" s="52"/>
      <c r="J138" s="51"/>
      <c r="K138" s="52"/>
      <c r="L138" s="51"/>
      <c r="M138" s="52"/>
      <c r="N138" s="51"/>
      <c r="O138" s="52"/>
      <c r="P138" s="51"/>
      <c r="Q138" s="52"/>
      <c r="R138" s="49">
        <f t="shared" si="13"/>
        <v>0</v>
      </c>
      <c r="S138" s="77">
        <f t="shared" si="14"/>
        <v>0</v>
      </c>
    </row>
    <row r="139" spans="1:19" ht="12.75" customHeight="1" x14ac:dyDescent="0.25">
      <c r="A139" s="5"/>
      <c r="B139" s="5">
        <v>22</v>
      </c>
      <c r="C139" s="5"/>
      <c r="D139" s="1" t="s">
        <v>51</v>
      </c>
      <c r="E139" s="30">
        <f t="shared" ref="E139:E152" si="15">SUM(G139:K139)</f>
        <v>1418.02</v>
      </c>
      <c r="G139" s="52">
        <v>1418.02</v>
      </c>
      <c r="H139" s="51"/>
      <c r="I139" s="52"/>
      <c r="J139" s="51"/>
      <c r="K139" s="52"/>
      <c r="L139" s="51"/>
      <c r="M139" s="52"/>
      <c r="N139" s="51"/>
      <c r="O139" s="52">
        <v>1418.02</v>
      </c>
      <c r="P139" s="51"/>
      <c r="Q139" s="52"/>
      <c r="R139" s="49">
        <f t="shared" si="13"/>
        <v>0</v>
      </c>
      <c r="S139" s="77">
        <f t="shared" si="14"/>
        <v>0</v>
      </c>
    </row>
    <row r="140" spans="1:19" ht="12.75" customHeight="1" x14ac:dyDescent="0.25">
      <c r="A140" s="5"/>
      <c r="B140" s="5">
        <v>23</v>
      </c>
      <c r="C140" s="1" t="s">
        <v>52</v>
      </c>
      <c r="D140" s="1"/>
      <c r="E140" s="30">
        <f t="shared" si="15"/>
        <v>124120.70999999999</v>
      </c>
      <c r="G140" s="52">
        <v>31340.9</v>
      </c>
      <c r="H140" s="51"/>
      <c r="I140" s="52">
        <v>9905.2199999999993</v>
      </c>
      <c r="J140" s="51"/>
      <c r="K140" s="52">
        <v>82874.59</v>
      </c>
      <c r="L140" s="51"/>
      <c r="M140" s="52">
        <v>82972.289999999994</v>
      </c>
      <c r="N140" s="51"/>
      <c r="O140" s="52">
        <v>41148.42</v>
      </c>
      <c r="P140" s="51"/>
      <c r="Q140" s="52"/>
      <c r="R140" s="49">
        <f t="shared" si="13"/>
        <v>0</v>
      </c>
      <c r="S140" s="77">
        <f t="shared" si="14"/>
        <v>0</v>
      </c>
    </row>
    <row r="141" spans="1:19" ht="12.75" customHeight="1" x14ac:dyDescent="0.25">
      <c r="A141" s="5"/>
      <c r="B141" s="5">
        <v>24</v>
      </c>
      <c r="C141" s="1" t="s">
        <v>70</v>
      </c>
      <c r="D141" s="1"/>
      <c r="E141" s="30">
        <f t="shared" si="15"/>
        <v>891677.41</v>
      </c>
      <c r="G141" s="52">
        <v>4682.8999999999996</v>
      </c>
      <c r="H141" s="51"/>
      <c r="I141" s="52">
        <v>31160.99</v>
      </c>
      <c r="J141" s="51"/>
      <c r="K141" s="52">
        <v>855833.52</v>
      </c>
      <c r="L141" s="51"/>
      <c r="M141" s="52">
        <v>435208.91</v>
      </c>
      <c r="N141" s="51"/>
      <c r="O141" s="52">
        <v>456228.5</v>
      </c>
      <c r="P141" s="51"/>
      <c r="Q141" s="52">
        <v>-240</v>
      </c>
      <c r="R141" s="49">
        <f t="shared" si="13"/>
        <v>480.00000000005821</v>
      </c>
      <c r="S141" s="77">
        <f t="shared" si="14"/>
        <v>5.8207660913467407E-11</v>
      </c>
    </row>
    <row r="142" spans="1:19" ht="12.75" customHeight="1" x14ac:dyDescent="0.25">
      <c r="A142" s="5"/>
      <c r="B142" s="5">
        <v>25</v>
      </c>
      <c r="C142" s="1" t="s">
        <v>55</v>
      </c>
      <c r="D142" s="1"/>
      <c r="E142" s="30">
        <f t="shared" si="15"/>
        <v>-247.76</v>
      </c>
      <c r="G142" s="52">
        <v>243.99</v>
      </c>
      <c r="H142" s="51"/>
      <c r="I142" s="52">
        <v>-491.75</v>
      </c>
      <c r="J142" s="51"/>
      <c r="K142" s="52"/>
      <c r="L142" s="51"/>
      <c r="M142" s="52">
        <v>236.25</v>
      </c>
      <c r="N142" s="51"/>
      <c r="O142" s="52">
        <v>-484.01</v>
      </c>
      <c r="P142" s="51"/>
      <c r="Q142" s="52"/>
      <c r="R142" s="49">
        <f t="shared" si="13"/>
        <v>0</v>
      </c>
      <c r="S142" s="77">
        <f t="shared" si="14"/>
        <v>0</v>
      </c>
    </row>
    <row r="143" spans="1:19" ht="12.75" customHeight="1" x14ac:dyDescent="0.25">
      <c r="A143" s="5"/>
      <c r="B143" s="5">
        <v>26</v>
      </c>
      <c r="C143" s="1" t="s">
        <v>56</v>
      </c>
      <c r="D143" s="1"/>
      <c r="E143" s="30">
        <f t="shared" si="15"/>
        <v>695136.07000000007</v>
      </c>
      <c r="G143" s="52">
        <v>7580.77</v>
      </c>
      <c r="H143" s="51"/>
      <c r="I143" s="52">
        <v>8746.26</v>
      </c>
      <c r="J143" s="51"/>
      <c r="K143" s="52">
        <v>678809.04</v>
      </c>
      <c r="L143" s="51"/>
      <c r="M143" s="52">
        <v>475763.34</v>
      </c>
      <c r="N143" s="51"/>
      <c r="O143" s="52">
        <v>219372.73</v>
      </c>
      <c r="P143" s="51"/>
      <c r="Q143" s="52"/>
      <c r="R143" s="49">
        <f t="shared" si="13"/>
        <v>2.9103830456733704E-11</v>
      </c>
      <c r="S143" s="77">
        <f t="shared" si="14"/>
        <v>2.9103830456733704E-11</v>
      </c>
    </row>
    <row r="144" spans="1:19" ht="12.75" customHeight="1" x14ac:dyDescent="0.25">
      <c r="A144" s="5"/>
      <c r="B144" s="5">
        <v>27</v>
      </c>
      <c r="C144" s="1" t="s">
        <v>58</v>
      </c>
      <c r="D144" s="1"/>
      <c r="E144" s="30">
        <f t="shared" si="15"/>
        <v>52147.15</v>
      </c>
      <c r="G144" s="52">
        <v>43812.81</v>
      </c>
      <c r="H144" s="51"/>
      <c r="I144" s="52">
        <v>7184.43</v>
      </c>
      <c r="J144" s="51" t="s">
        <v>19</v>
      </c>
      <c r="K144" s="52">
        <v>1149.9100000000001</v>
      </c>
      <c r="L144" s="51">
        <v>1149.9100000000001</v>
      </c>
      <c r="M144" s="52">
        <v>2754.51</v>
      </c>
      <c r="N144" s="51"/>
      <c r="O144" s="52">
        <v>49392.639999999999</v>
      </c>
      <c r="P144" s="51"/>
      <c r="Q144" s="52"/>
      <c r="R144" s="49">
        <f t="shared" si="13"/>
        <v>0</v>
      </c>
      <c r="S144" s="77">
        <f t="shared" si="14"/>
        <v>0</v>
      </c>
    </row>
    <row r="145" spans="1:19" ht="12.75" customHeight="1" x14ac:dyDescent="0.25">
      <c r="A145" s="5"/>
      <c r="B145" s="5">
        <v>19</v>
      </c>
      <c r="C145" s="1" t="s">
        <v>59</v>
      </c>
      <c r="D145" s="1"/>
      <c r="E145" s="30">
        <f>SUM(G145:K145)</f>
        <v>0</v>
      </c>
      <c r="G145" s="52"/>
      <c r="H145" s="51"/>
      <c r="I145" s="52"/>
      <c r="J145" s="51"/>
      <c r="K145" s="52"/>
      <c r="L145" s="51"/>
      <c r="M145" s="52"/>
      <c r="N145" s="51"/>
      <c r="O145" s="52"/>
      <c r="P145" s="51"/>
      <c r="Q145" s="52"/>
      <c r="R145" s="49">
        <f>E145-M145-O145-Q145</f>
        <v>0</v>
      </c>
      <c r="S145" s="77">
        <f t="shared" si="14"/>
        <v>0</v>
      </c>
    </row>
    <row r="146" spans="1:19" ht="12.75" customHeight="1" x14ac:dyDescent="0.25">
      <c r="A146" s="5"/>
      <c r="B146" s="5">
        <v>28</v>
      </c>
      <c r="C146" s="1" t="s">
        <v>71</v>
      </c>
      <c r="D146" s="1"/>
      <c r="E146" s="30">
        <f t="shared" si="15"/>
        <v>5967684.8899999997</v>
      </c>
      <c r="G146" s="52">
        <v>121030.13</v>
      </c>
      <c r="H146" s="51"/>
      <c r="I146" s="52">
        <v>2635.58</v>
      </c>
      <c r="J146" s="51"/>
      <c r="K146" s="52">
        <v>5844019.1799999997</v>
      </c>
      <c r="L146" s="51"/>
      <c r="M146" s="52">
        <v>3648684.33</v>
      </c>
      <c r="N146" s="51"/>
      <c r="O146" s="52">
        <v>2318926.56</v>
      </c>
      <c r="P146" s="51"/>
      <c r="Q146" s="52">
        <v>-74</v>
      </c>
      <c r="R146" s="49">
        <f t="shared" si="13"/>
        <v>147.99999999953434</v>
      </c>
      <c r="S146" s="77">
        <f t="shared" si="14"/>
        <v>-4.6566128730773926E-10</v>
      </c>
    </row>
    <row r="147" spans="1:19" ht="12.75" customHeight="1" x14ac:dyDescent="0.25">
      <c r="A147" s="5"/>
      <c r="B147" s="5">
        <v>29</v>
      </c>
      <c r="C147" s="1" t="s">
        <v>61</v>
      </c>
      <c r="D147" s="1"/>
      <c r="E147" s="30">
        <f t="shared" si="15"/>
        <v>32509.489999999998</v>
      </c>
      <c r="G147" s="52">
        <v>12287.46</v>
      </c>
      <c r="H147" s="51"/>
      <c r="I147" s="52"/>
      <c r="J147" s="51"/>
      <c r="K147" s="52">
        <v>20222.03</v>
      </c>
      <c r="L147" s="51"/>
      <c r="M147" s="52">
        <v>9316</v>
      </c>
      <c r="N147" s="51"/>
      <c r="O147" s="52">
        <v>23193.49</v>
      </c>
      <c r="P147" s="51"/>
      <c r="Q147" s="52"/>
      <c r="R147" s="49">
        <f t="shared" si="13"/>
        <v>-3.637978807091713E-12</v>
      </c>
      <c r="S147" s="77">
        <f t="shared" si="14"/>
        <v>-3.637978807091713E-12</v>
      </c>
    </row>
    <row r="148" spans="1:19" ht="12.75" customHeight="1" x14ac:dyDescent="0.25">
      <c r="A148" s="5"/>
      <c r="B148" s="5">
        <v>30</v>
      </c>
      <c r="C148" s="1" t="s">
        <v>72</v>
      </c>
      <c r="D148" s="1"/>
      <c r="E148" s="30">
        <f t="shared" si="15"/>
        <v>2780.05</v>
      </c>
      <c r="G148" s="52">
        <v>1954.45</v>
      </c>
      <c r="H148" s="51"/>
      <c r="I148" s="52"/>
      <c r="J148" s="51"/>
      <c r="K148" s="52">
        <v>825.6</v>
      </c>
      <c r="L148" s="51"/>
      <c r="M148" s="52"/>
      <c r="N148" s="51"/>
      <c r="O148" s="52">
        <v>2780.05</v>
      </c>
      <c r="P148" s="51"/>
      <c r="Q148" s="52"/>
      <c r="R148" s="49">
        <f t="shared" si="13"/>
        <v>0</v>
      </c>
      <c r="S148" s="77">
        <f t="shared" si="14"/>
        <v>0</v>
      </c>
    </row>
    <row r="149" spans="1:19" ht="12.75" customHeight="1" x14ac:dyDescent="0.25">
      <c r="A149" s="5"/>
      <c r="B149" s="5">
        <v>31</v>
      </c>
      <c r="C149" s="1" t="s">
        <v>62</v>
      </c>
      <c r="D149" s="1"/>
      <c r="E149" s="30">
        <f t="shared" si="15"/>
        <v>3994434.61</v>
      </c>
      <c r="G149" s="52">
        <v>56748.38</v>
      </c>
      <c r="H149" s="51"/>
      <c r="I149" s="52">
        <v>1800</v>
      </c>
      <c r="J149" s="51" t="s">
        <v>19</v>
      </c>
      <c r="K149" s="52">
        <v>3935886.23</v>
      </c>
      <c r="L149" s="51" t="s">
        <v>19</v>
      </c>
      <c r="M149" s="52">
        <v>2210657.36</v>
      </c>
      <c r="N149" s="51" t="s">
        <v>19</v>
      </c>
      <c r="O149" s="52">
        <v>1780980.25</v>
      </c>
      <c r="P149" s="51" t="s">
        <v>19</v>
      </c>
      <c r="Q149" s="52">
        <v>-2797</v>
      </c>
      <c r="R149" s="49">
        <f t="shared" si="13"/>
        <v>5594</v>
      </c>
      <c r="S149" s="77">
        <f t="shared" si="14"/>
        <v>0</v>
      </c>
    </row>
    <row r="150" spans="1:19" ht="12.75" customHeight="1" x14ac:dyDescent="0.25">
      <c r="A150" s="5"/>
      <c r="B150" s="5">
        <v>32</v>
      </c>
      <c r="C150" s="1" t="s">
        <v>63</v>
      </c>
      <c r="D150" s="1"/>
      <c r="E150" s="30">
        <f t="shared" si="15"/>
        <v>1313.33</v>
      </c>
      <c r="G150" s="52">
        <v>1313.33</v>
      </c>
      <c r="H150" s="51"/>
      <c r="I150" s="52"/>
      <c r="J150" s="51"/>
      <c r="K150" s="52"/>
      <c r="L150" s="51"/>
      <c r="M150" s="52">
        <v>960.69</v>
      </c>
      <c r="N150" s="51"/>
      <c r="O150" s="52">
        <v>352.64</v>
      </c>
      <c r="P150" s="51"/>
      <c r="Q150" s="52"/>
      <c r="R150" s="49">
        <f t="shared" si="13"/>
        <v>-1.1368683772161603E-13</v>
      </c>
      <c r="S150" s="77">
        <f t="shared" si="14"/>
        <v>-1.1368683772161603E-13</v>
      </c>
    </row>
    <row r="151" spans="1:19" ht="12.75" customHeight="1" x14ac:dyDescent="0.25">
      <c r="A151" s="5"/>
      <c r="B151" s="5">
        <v>33</v>
      </c>
      <c r="C151" s="1" t="s">
        <v>64</v>
      </c>
      <c r="D151" s="1"/>
      <c r="E151" s="30">
        <f t="shared" si="15"/>
        <v>17288.870000000003</v>
      </c>
      <c r="G151" s="52">
        <v>12788.87</v>
      </c>
      <c r="H151" s="51"/>
      <c r="I151" s="52">
        <v>4500</v>
      </c>
      <c r="J151" s="51"/>
      <c r="K151" s="52"/>
      <c r="L151" s="51"/>
      <c r="M151" s="52">
        <v>756.61</v>
      </c>
      <c r="N151" s="51"/>
      <c r="O151" s="52">
        <v>16532.259999999998</v>
      </c>
      <c r="P151" s="51"/>
      <c r="Q151" s="52"/>
      <c r="R151" s="49">
        <f t="shared" si="13"/>
        <v>3.637978807091713E-12</v>
      </c>
      <c r="S151" s="77">
        <f t="shared" si="14"/>
        <v>3.637978807091713E-12</v>
      </c>
    </row>
    <row r="152" spans="1:19" ht="12.75" customHeight="1" x14ac:dyDescent="0.25">
      <c r="A152" s="5"/>
      <c r="B152" s="5">
        <v>34</v>
      </c>
      <c r="C152" s="1" t="s">
        <v>65</v>
      </c>
      <c r="D152" s="1"/>
      <c r="E152" s="30">
        <f t="shared" si="15"/>
        <v>30796.190000000002</v>
      </c>
      <c r="G152" s="52">
        <v>1725.65</v>
      </c>
      <c r="H152" s="51"/>
      <c r="I152" s="52">
        <v>29070.54</v>
      </c>
      <c r="J152" s="51"/>
      <c r="K152" s="52"/>
      <c r="L152" s="51"/>
      <c r="M152" s="52">
        <v>19582.95</v>
      </c>
      <c r="N152" s="51"/>
      <c r="O152" s="52">
        <v>11193.24</v>
      </c>
      <c r="P152" s="51"/>
      <c r="Q152" s="52">
        <v>-20</v>
      </c>
      <c r="R152" s="49">
        <f t="shared" si="13"/>
        <v>40.000000000001819</v>
      </c>
      <c r="S152" s="77">
        <f t="shared" si="14"/>
        <v>1.8189894035458565E-12</v>
      </c>
    </row>
    <row r="153" spans="1:19" ht="12.75" customHeight="1" x14ac:dyDescent="0.25">
      <c r="A153" s="5"/>
      <c r="B153" s="5">
        <v>36</v>
      </c>
      <c r="C153" s="55" t="s">
        <v>294</v>
      </c>
      <c r="D153" s="1"/>
      <c r="E153" s="30">
        <f>SUM(G153:K153)</f>
        <v>13384.52</v>
      </c>
      <c r="G153" s="52">
        <v>13384.52</v>
      </c>
      <c r="H153" s="51"/>
      <c r="I153" s="52"/>
      <c r="J153" s="51"/>
      <c r="K153" s="52"/>
      <c r="L153" s="51"/>
      <c r="M153" s="52"/>
      <c r="N153" s="51"/>
      <c r="O153" s="52">
        <v>13384.52</v>
      </c>
      <c r="P153" s="51"/>
      <c r="Q153" s="52"/>
      <c r="R153" s="49">
        <f t="shared" ref="R153" si="16">E153-M153-O153-Q153</f>
        <v>0</v>
      </c>
      <c r="S153" s="77">
        <f t="shared" ref="S153" si="17">E153-M153-O153+Q153</f>
        <v>0</v>
      </c>
    </row>
    <row r="154" spans="1:19" ht="12.75" customHeight="1" x14ac:dyDescent="0.25">
      <c r="A154" s="5"/>
      <c r="B154" s="5">
        <v>36</v>
      </c>
      <c r="C154" s="1" t="s">
        <v>66</v>
      </c>
      <c r="D154" s="1"/>
      <c r="E154" s="30">
        <f>SUM(G154:K154)</f>
        <v>151168.1</v>
      </c>
      <c r="G154" s="52"/>
      <c r="H154" s="51"/>
      <c r="I154" s="52"/>
      <c r="J154" s="51"/>
      <c r="K154" s="52">
        <v>151168.1</v>
      </c>
      <c r="L154" s="51"/>
      <c r="M154" s="52">
        <v>100244.41</v>
      </c>
      <c r="N154" s="51"/>
      <c r="O154" s="52">
        <v>50923.69</v>
      </c>
      <c r="P154" s="51"/>
      <c r="Q154" s="52"/>
      <c r="R154" s="49">
        <f t="shared" si="13"/>
        <v>0</v>
      </c>
      <c r="S154" s="77">
        <f t="shared" si="14"/>
        <v>0</v>
      </c>
    </row>
    <row r="155" spans="1:19" ht="12.75" customHeight="1" x14ac:dyDescent="0.25">
      <c r="A155" s="5"/>
      <c r="B155" s="5">
        <v>37</v>
      </c>
      <c r="C155" s="1" t="s">
        <v>226</v>
      </c>
      <c r="D155" s="1"/>
      <c r="E155" s="34">
        <f>SUM(G155:K155)</f>
        <v>37928.46</v>
      </c>
      <c r="G155" s="52">
        <v>4303.1400000000003</v>
      </c>
      <c r="H155" s="51"/>
      <c r="I155" s="52">
        <v>3823.92</v>
      </c>
      <c r="J155" s="51"/>
      <c r="K155" s="52">
        <v>29801.4</v>
      </c>
      <c r="L155" s="51"/>
      <c r="M155" s="52">
        <v>3900</v>
      </c>
      <c r="N155" s="51" t="s">
        <v>19</v>
      </c>
      <c r="O155" s="52">
        <v>34028.46</v>
      </c>
      <c r="P155" s="51"/>
      <c r="Q155" s="52"/>
      <c r="R155" s="49">
        <f t="shared" si="13"/>
        <v>0</v>
      </c>
      <c r="S155" s="77">
        <f t="shared" si="14"/>
        <v>0</v>
      </c>
    </row>
    <row r="156" spans="1:19" ht="12.75" customHeight="1" x14ac:dyDescent="0.25">
      <c r="A156" s="5"/>
      <c r="B156" s="5"/>
      <c r="C156" s="1" t="s">
        <v>68</v>
      </c>
      <c r="E156" s="54">
        <f>G156+I156+K156</f>
        <v>554.79999999999995</v>
      </c>
      <c r="G156" s="53">
        <v>240.03</v>
      </c>
      <c r="H156" s="51"/>
      <c r="I156" s="53">
        <v>314.77</v>
      </c>
      <c r="J156" s="51"/>
      <c r="K156" s="53"/>
      <c r="L156" s="51"/>
      <c r="M156" s="53">
        <v>60</v>
      </c>
      <c r="N156" s="51"/>
      <c r="O156" s="53">
        <v>494.8</v>
      </c>
      <c r="P156" s="51"/>
      <c r="Q156" s="53"/>
      <c r="R156" s="49">
        <f>E156-M156-O156-Q156</f>
        <v>-5.6843418860808015E-14</v>
      </c>
      <c r="S156" s="77">
        <f t="shared" si="14"/>
        <v>-5.6843418860808015E-14</v>
      </c>
    </row>
    <row r="157" spans="1:19" ht="12.75" customHeight="1" x14ac:dyDescent="0.25">
      <c r="A157" s="5"/>
      <c r="B157" s="5"/>
      <c r="C157" s="1"/>
      <c r="G157" s="52"/>
      <c r="H157" s="51"/>
      <c r="I157" s="52"/>
      <c r="J157" s="51"/>
      <c r="K157" s="52"/>
      <c r="L157" s="51"/>
      <c r="M157" s="52"/>
      <c r="N157" s="51"/>
      <c r="O157" s="52"/>
      <c r="P157" s="51"/>
      <c r="Q157" s="52"/>
      <c r="R157" s="49"/>
    </row>
    <row r="158" spans="1:19" ht="12.75" customHeight="1" x14ac:dyDescent="0.25">
      <c r="A158" s="5"/>
      <c r="B158" s="5"/>
      <c r="C158" s="5"/>
      <c r="D158" s="1" t="s">
        <v>2</v>
      </c>
      <c r="E158" s="6">
        <f>G158+I158+K158</f>
        <v>23581920.040000003</v>
      </c>
      <c r="G158" s="53">
        <f>SUM(G118:G157)</f>
        <v>1006929.2</v>
      </c>
      <c r="H158" s="51"/>
      <c r="I158" s="53">
        <f>SUM(I118:I157)</f>
        <v>534767.08000000007</v>
      </c>
      <c r="J158" s="51"/>
      <c r="K158" s="53">
        <f>SUM(K118:K157)</f>
        <v>22040223.760000002</v>
      </c>
      <c r="L158" s="51"/>
      <c r="M158" s="53">
        <f>SUM(M118:M157)</f>
        <v>12453506.769999998</v>
      </c>
      <c r="N158" s="51"/>
      <c r="O158" s="53">
        <f>SUM(O118:O157)</f>
        <v>11124849.270000003</v>
      </c>
      <c r="P158" s="51"/>
      <c r="Q158" s="53">
        <f>SUM(Q118:Q157)</f>
        <v>-3564</v>
      </c>
      <c r="R158" s="49">
        <f t="shared" si="13"/>
        <v>7128.0000000018626</v>
      </c>
      <c r="S158" s="77">
        <f>E158-M158-O158+Q158</f>
        <v>1.862645149230957E-9</v>
      </c>
    </row>
    <row r="159" spans="1:19" ht="12.75" customHeight="1" x14ac:dyDescent="0.25">
      <c r="A159" s="5"/>
      <c r="E159" s="34"/>
      <c r="G159" s="52"/>
      <c r="H159" s="51"/>
      <c r="I159" s="52"/>
      <c r="J159" s="51"/>
      <c r="K159" s="52"/>
      <c r="L159" s="51"/>
      <c r="M159" s="52"/>
      <c r="N159" s="51"/>
      <c r="O159" s="52"/>
      <c r="P159" s="51"/>
      <c r="Q159" s="52"/>
      <c r="R159" s="49"/>
    </row>
    <row r="160" spans="1:19" ht="12.75" customHeight="1" x14ac:dyDescent="0.25">
      <c r="A160" s="5"/>
      <c r="B160" s="1" t="s">
        <v>15</v>
      </c>
      <c r="E160" s="30" t="s">
        <v>19</v>
      </c>
      <c r="R160" s="49">
        <f t="shared" si="13"/>
        <v>0</v>
      </c>
    </row>
    <row r="161" spans="1:19" ht="12.75" customHeight="1" x14ac:dyDescent="0.25">
      <c r="A161" s="33"/>
      <c r="B161" s="5">
        <v>1</v>
      </c>
      <c r="C161" s="1" t="s">
        <v>227</v>
      </c>
      <c r="D161" s="1"/>
      <c r="E161" s="30">
        <f t="shared" ref="E161:E166" si="18">SUM(G161:K161)</f>
        <v>13160751.169999998</v>
      </c>
      <c r="G161" s="52">
        <v>9389814.5399999991</v>
      </c>
      <c r="H161" s="51"/>
      <c r="I161" s="52">
        <v>3250632.43</v>
      </c>
      <c r="J161" s="51"/>
      <c r="K161" s="52">
        <v>520304.2</v>
      </c>
      <c r="L161" s="51"/>
      <c r="M161" s="52">
        <v>8073295.8300000001</v>
      </c>
      <c r="N161" s="51"/>
      <c r="O161" s="52">
        <v>5083764.34</v>
      </c>
      <c r="P161" s="51"/>
      <c r="Q161" s="52">
        <v>-3691</v>
      </c>
      <c r="R161" s="49">
        <f>E161-M161-O161-Q161</f>
        <v>7381.9999999981374</v>
      </c>
      <c r="S161" s="77">
        <f t="shared" ref="S161:S173" si="19">E161-M161-O161+Q161</f>
        <v>-1.862645149230957E-9</v>
      </c>
    </row>
    <row r="162" spans="1:19" ht="12.75" customHeight="1" x14ac:dyDescent="0.25">
      <c r="A162" s="33"/>
      <c r="B162" s="5">
        <v>2</v>
      </c>
      <c r="C162" s="1" t="s">
        <v>232</v>
      </c>
      <c r="D162" s="1"/>
      <c r="E162" s="30">
        <f t="shared" si="18"/>
        <v>701134.25</v>
      </c>
      <c r="G162" s="52">
        <v>667902.48</v>
      </c>
      <c r="H162" s="51"/>
      <c r="I162" s="52"/>
      <c r="J162" s="51"/>
      <c r="K162" s="52">
        <v>33231.769999999997</v>
      </c>
      <c r="L162" s="51"/>
      <c r="M162" s="52">
        <v>499078.82</v>
      </c>
      <c r="N162" s="51"/>
      <c r="O162" s="52">
        <v>271432</v>
      </c>
      <c r="P162" s="51"/>
      <c r="Q162" s="52">
        <v>69376.570000000007</v>
      </c>
      <c r="R162" s="49">
        <f t="shared" si="13"/>
        <v>-138753.14000000001</v>
      </c>
      <c r="S162" s="77">
        <f t="shared" si="19"/>
        <v>0</v>
      </c>
    </row>
    <row r="163" spans="1:19" ht="12.75" customHeight="1" x14ac:dyDescent="0.25">
      <c r="A163" s="33"/>
      <c r="B163" s="5">
        <v>3</v>
      </c>
      <c r="C163" s="1" t="s">
        <v>73</v>
      </c>
      <c r="D163" s="1"/>
      <c r="E163" s="30">
        <f t="shared" si="18"/>
        <v>104794.55</v>
      </c>
      <c r="G163" s="52">
        <v>128923.55</v>
      </c>
      <c r="H163" s="51"/>
      <c r="I163" s="52">
        <v>-24129</v>
      </c>
      <c r="J163" s="51"/>
      <c r="K163" s="52"/>
      <c r="L163" s="51"/>
      <c r="M163" s="52">
        <v>80872.44</v>
      </c>
      <c r="N163" s="51"/>
      <c r="O163" s="52">
        <v>48051.11</v>
      </c>
      <c r="P163" s="51"/>
      <c r="Q163" s="52">
        <v>24129</v>
      </c>
      <c r="R163" s="49">
        <f t="shared" si="13"/>
        <v>-48258</v>
      </c>
      <c r="S163" s="77">
        <f t="shared" si="19"/>
        <v>0</v>
      </c>
    </row>
    <row r="164" spans="1:19" ht="12.75" customHeight="1" x14ac:dyDescent="0.25">
      <c r="A164" s="33"/>
      <c r="B164" s="5"/>
      <c r="C164" s="1" t="s">
        <v>239</v>
      </c>
      <c r="D164" s="1"/>
      <c r="E164" s="30">
        <f t="shared" si="18"/>
        <v>118309</v>
      </c>
      <c r="G164" s="52">
        <v>88894.17</v>
      </c>
      <c r="H164" s="51"/>
      <c r="I164" s="52"/>
      <c r="J164" s="51"/>
      <c r="K164" s="52">
        <v>29414.83</v>
      </c>
      <c r="L164" s="51"/>
      <c r="M164" s="52">
        <v>37016.080000000002</v>
      </c>
      <c r="N164" s="51"/>
      <c r="O164" s="52">
        <v>81180.92</v>
      </c>
      <c r="P164" s="51"/>
      <c r="Q164" s="52">
        <v>-112</v>
      </c>
      <c r="R164" s="49">
        <f t="shared" si="13"/>
        <v>224</v>
      </c>
      <c r="S164" s="77">
        <f t="shared" si="19"/>
        <v>0</v>
      </c>
    </row>
    <row r="165" spans="1:19" ht="12.75" customHeight="1" x14ac:dyDescent="0.25">
      <c r="A165" s="33"/>
      <c r="B165" s="5"/>
      <c r="C165" s="1" t="s">
        <v>271</v>
      </c>
      <c r="D165" s="1"/>
      <c r="E165" s="30">
        <f t="shared" si="18"/>
        <v>370.15</v>
      </c>
      <c r="G165" s="52">
        <v>370.15</v>
      </c>
      <c r="H165" s="51"/>
      <c r="I165" s="52"/>
      <c r="J165" s="51"/>
      <c r="K165" s="52"/>
      <c r="L165" s="51"/>
      <c r="M165" s="52"/>
      <c r="N165" s="51"/>
      <c r="O165" s="52">
        <v>370.15</v>
      </c>
      <c r="P165" s="51"/>
      <c r="Q165" s="52"/>
      <c r="R165" s="49">
        <f t="shared" si="13"/>
        <v>0</v>
      </c>
      <c r="S165" s="77">
        <f t="shared" si="19"/>
        <v>0</v>
      </c>
    </row>
    <row r="166" spans="1:19" ht="12.75" customHeight="1" x14ac:dyDescent="0.25">
      <c r="A166" s="33"/>
      <c r="B166" s="5"/>
      <c r="C166" s="55" t="s">
        <v>293</v>
      </c>
      <c r="D166" s="1"/>
      <c r="E166" s="30">
        <f t="shared" si="18"/>
        <v>884.65</v>
      </c>
      <c r="G166" s="52" t="s">
        <v>19</v>
      </c>
      <c r="H166" s="51"/>
      <c r="I166" s="52">
        <v>884.65</v>
      </c>
      <c r="J166" s="51"/>
      <c r="K166" s="52"/>
      <c r="L166" s="51"/>
      <c r="M166" s="52"/>
      <c r="N166" s="51"/>
      <c r="O166" s="52">
        <v>884.65</v>
      </c>
      <c r="P166" s="51"/>
      <c r="Q166" s="52"/>
      <c r="R166" s="49">
        <f t="shared" ref="R166" si="20">E166-M166-O166-Q166</f>
        <v>0</v>
      </c>
      <c r="S166" s="77">
        <f t="shared" ref="S166" si="21">E166-M166-O166+Q166</f>
        <v>0</v>
      </c>
    </row>
    <row r="167" spans="1:19" ht="12.75" customHeight="1" x14ac:dyDescent="0.25">
      <c r="A167" s="33"/>
      <c r="B167" s="5">
        <v>4</v>
      </c>
      <c r="C167" s="1" t="s">
        <v>74</v>
      </c>
      <c r="D167" s="1"/>
      <c r="E167" s="30">
        <f t="shared" ref="E167:E172" si="22">SUM(G167:K167)</f>
        <v>0</v>
      </c>
      <c r="G167" s="52"/>
      <c r="H167" s="51"/>
      <c r="I167" s="52"/>
      <c r="J167" s="51"/>
      <c r="K167" s="52"/>
      <c r="L167" s="51"/>
      <c r="M167" s="52"/>
      <c r="N167" s="51"/>
      <c r="O167" s="52"/>
      <c r="P167" s="51"/>
      <c r="Q167" s="52"/>
      <c r="R167" s="49">
        <f t="shared" si="13"/>
        <v>0</v>
      </c>
      <c r="S167" s="77">
        <f t="shared" si="19"/>
        <v>0</v>
      </c>
    </row>
    <row r="168" spans="1:19" ht="12.75" customHeight="1" x14ac:dyDescent="0.25">
      <c r="A168" s="33"/>
      <c r="B168" s="5">
        <v>5</v>
      </c>
      <c r="C168" s="1" t="s">
        <v>75</v>
      </c>
      <c r="D168" s="1"/>
      <c r="E168" s="30">
        <f t="shared" si="22"/>
        <v>32693.53</v>
      </c>
      <c r="G168" s="52">
        <v>18141.330000000002</v>
      </c>
      <c r="H168" s="51"/>
      <c r="I168" s="52">
        <v>14466.63</v>
      </c>
      <c r="J168" s="51"/>
      <c r="K168" s="52">
        <v>85.57</v>
      </c>
      <c r="L168" s="51"/>
      <c r="M168" s="52">
        <v>21914.29</v>
      </c>
      <c r="N168" s="51"/>
      <c r="O168" s="52">
        <v>10719.24</v>
      </c>
      <c r="P168" s="51"/>
      <c r="Q168" s="52">
        <v>-60</v>
      </c>
      <c r="R168" s="49">
        <f t="shared" si="13"/>
        <v>119.99999999999818</v>
      </c>
      <c r="S168" s="77">
        <f t="shared" si="19"/>
        <v>-1.8189894035458565E-12</v>
      </c>
    </row>
    <row r="169" spans="1:19" ht="12.75" customHeight="1" x14ac:dyDescent="0.25">
      <c r="A169" s="33"/>
      <c r="B169" s="5">
        <v>6</v>
      </c>
      <c r="C169" s="1" t="s">
        <v>76</v>
      </c>
      <c r="D169" s="1"/>
      <c r="E169" s="30">
        <f t="shared" si="22"/>
        <v>-3669.0099999999998</v>
      </c>
      <c r="G169" s="52">
        <v>7.84</v>
      </c>
      <c r="H169" s="51"/>
      <c r="I169" s="52">
        <v>-3676.85</v>
      </c>
      <c r="J169" s="51"/>
      <c r="K169" s="52"/>
      <c r="L169" s="51"/>
      <c r="M169" s="52"/>
      <c r="N169" s="51"/>
      <c r="O169" s="52">
        <v>22073.33</v>
      </c>
      <c r="P169" s="51" t="s">
        <v>19</v>
      </c>
      <c r="Q169" s="52">
        <v>25742.34</v>
      </c>
      <c r="R169" s="49">
        <f t="shared" si="13"/>
        <v>-51484.68</v>
      </c>
      <c r="S169" s="77">
        <f t="shared" si="19"/>
        <v>0</v>
      </c>
    </row>
    <row r="170" spans="1:19" ht="12.75" customHeight="1" x14ac:dyDescent="0.25">
      <c r="A170" s="33"/>
      <c r="B170" s="5">
        <v>7</v>
      </c>
      <c r="C170" s="1" t="s">
        <v>77</v>
      </c>
      <c r="D170" s="1"/>
      <c r="E170" s="30">
        <f t="shared" si="22"/>
        <v>2925.86</v>
      </c>
      <c r="G170" s="52"/>
      <c r="H170" s="51"/>
      <c r="I170" s="52">
        <v>2925.86</v>
      </c>
      <c r="J170" s="51"/>
      <c r="K170" s="52"/>
      <c r="L170" s="51"/>
      <c r="M170" s="52">
        <v>29359.439999999999</v>
      </c>
      <c r="N170" s="51"/>
      <c r="O170" s="52">
        <v>64395.86</v>
      </c>
      <c r="P170" s="51"/>
      <c r="Q170" s="52">
        <v>90829.440000000002</v>
      </c>
      <c r="R170" s="49">
        <f t="shared" si="13"/>
        <v>-181658.88</v>
      </c>
      <c r="S170" s="77">
        <f t="shared" si="19"/>
        <v>0</v>
      </c>
    </row>
    <row r="171" spans="1:19" ht="12.75" customHeight="1" x14ac:dyDescent="0.25">
      <c r="A171" s="33"/>
      <c r="B171" s="5">
        <v>8</v>
      </c>
      <c r="C171" s="1" t="s">
        <v>78</v>
      </c>
      <c r="D171" s="1"/>
      <c r="E171" s="30">
        <f t="shared" si="22"/>
        <v>31674.3</v>
      </c>
      <c r="G171" s="52">
        <v>28503.37</v>
      </c>
      <c r="H171" s="51"/>
      <c r="I171" s="52">
        <v>3170.93</v>
      </c>
      <c r="J171" s="51"/>
      <c r="K171" s="52"/>
      <c r="L171" s="51"/>
      <c r="M171" s="52">
        <v>6066.5</v>
      </c>
      <c r="N171" s="51"/>
      <c r="O171" s="52">
        <v>25607.8</v>
      </c>
      <c r="P171" s="51"/>
      <c r="Q171" s="52"/>
      <c r="R171" s="49">
        <f t="shared" si="13"/>
        <v>0</v>
      </c>
      <c r="S171" s="77">
        <f t="shared" si="19"/>
        <v>0</v>
      </c>
    </row>
    <row r="172" spans="1:19" ht="12.75" customHeight="1" x14ac:dyDescent="0.25">
      <c r="A172" s="33"/>
      <c r="B172" s="5">
        <v>9</v>
      </c>
      <c r="C172" s="1" t="s">
        <v>79</v>
      </c>
      <c r="D172" s="1"/>
      <c r="E172" s="30">
        <f t="shared" si="22"/>
        <v>112053.56</v>
      </c>
      <c r="G172" s="52">
        <v>34682.480000000003</v>
      </c>
      <c r="H172" s="51"/>
      <c r="I172" s="52">
        <v>77371.08</v>
      </c>
      <c r="J172" s="51"/>
      <c r="K172" s="52"/>
      <c r="L172" s="51"/>
      <c r="M172" s="52"/>
      <c r="N172" s="51"/>
      <c r="O172" s="52">
        <v>112053.56</v>
      </c>
      <c r="P172" s="51"/>
      <c r="Q172" s="52"/>
      <c r="R172" s="49">
        <f t="shared" si="13"/>
        <v>0</v>
      </c>
      <c r="S172" s="77">
        <f t="shared" si="19"/>
        <v>0</v>
      </c>
    </row>
    <row r="173" spans="1:19" ht="12.75" customHeight="1" x14ac:dyDescent="0.25">
      <c r="A173" s="33"/>
      <c r="B173" s="5">
        <v>10</v>
      </c>
      <c r="C173" s="1" t="s">
        <v>80</v>
      </c>
      <c r="D173" s="1"/>
      <c r="E173" s="54">
        <f>G173+I173+K173</f>
        <v>323630.93000000005</v>
      </c>
      <c r="G173" s="53">
        <v>161360.29</v>
      </c>
      <c r="H173" s="51"/>
      <c r="I173" s="53">
        <v>162192.5</v>
      </c>
      <c r="J173" s="51"/>
      <c r="K173" s="53">
        <v>78.14</v>
      </c>
      <c r="L173" s="51"/>
      <c r="M173" s="53">
        <v>330493.68</v>
      </c>
      <c r="N173" s="51"/>
      <c r="O173" s="53">
        <v>554496.72</v>
      </c>
      <c r="P173" s="51"/>
      <c r="Q173" s="53">
        <v>561359.47</v>
      </c>
      <c r="R173" s="49">
        <f>E173-M173-O173-Q173</f>
        <v>-1122718.94</v>
      </c>
      <c r="S173" s="77">
        <f t="shared" si="19"/>
        <v>0</v>
      </c>
    </row>
    <row r="174" spans="1:19" ht="12.75" customHeight="1" x14ac:dyDescent="0.25">
      <c r="A174" s="33"/>
    </row>
    <row r="175" spans="1:19" ht="12.75" customHeight="1" x14ac:dyDescent="0.25">
      <c r="A175" s="5"/>
      <c r="B175" s="5"/>
      <c r="C175" s="5"/>
      <c r="D175" s="1" t="s">
        <v>2</v>
      </c>
      <c r="E175" s="6">
        <f>G175+I175+K175</f>
        <v>14585552.939999999</v>
      </c>
      <c r="G175" s="6">
        <f>SUM(G160:G174)</f>
        <v>10518600.199999999</v>
      </c>
      <c r="I175" s="6">
        <f>SUM(I160:I174)</f>
        <v>3483838.23</v>
      </c>
      <c r="K175" s="6">
        <f>SUM(K160:K174)</f>
        <v>583114.50999999989</v>
      </c>
      <c r="M175" s="6">
        <f>SUM(M160:M174)</f>
        <v>9078097.0799999982</v>
      </c>
      <c r="O175" s="6">
        <f>SUM(O160:O174)</f>
        <v>6275029.6800000006</v>
      </c>
      <c r="Q175" s="6">
        <f>SUM(Q160:Q174)</f>
        <v>767573.82</v>
      </c>
      <c r="R175" s="49">
        <f>E175-M175-O175-Q175</f>
        <v>-1535147.6399999992</v>
      </c>
      <c r="S175" s="77">
        <f>E175-M175-O175+Q175</f>
        <v>0</v>
      </c>
    </row>
    <row r="176" spans="1:19" ht="12.75" customHeight="1" x14ac:dyDescent="0.25">
      <c r="A176" s="5"/>
      <c r="B176" s="33"/>
    </row>
    <row r="177" spans="1:19" ht="12.75" customHeight="1" x14ac:dyDescent="0.25">
      <c r="A177" s="5"/>
      <c r="B177" s="5"/>
      <c r="C177" s="5"/>
      <c r="D177" s="1" t="s">
        <v>284</v>
      </c>
      <c r="E177" s="30" t="s">
        <v>19</v>
      </c>
    </row>
    <row r="178" spans="1:19" ht="12.75" customHeight="1" x14ac:dyDescent="0.25">
      <c r="A178" s="5"/>
      <c r="B178" s="5"/>
      <c r="C178" s="5"/>
      <c r="D178" s="1" t="s">
        <v>81</v>
      </c>
      <c r="E178" s="6">
        <f>E175+E115+E158</f>
        <v>219896296.56999999</v>
      </c>
      <c r="G178" s="6">
        <f>G175+G115+G158</f>
        <v>95805097.580000013</v>
      </c>
      <c r="I178" s="6">
        <f>I175+I115+I158</f>
        <v>96170295.409999996</v>
      </c>
      <c r="K178" s="6">
        <f>K175+K115+K158</f>
        <v>27920903.580000002</v>
      </c>
      <c r="M178" s="6">
        <f>M175+M115+M158</f>
        <v>147325611.11000001</v>
      </c>
      <c r="O178" s="6">
        <f>O175+O115+O158</f>
        <v>75333504.920000002</v>
      </c>
      <c r="Q178" s="6">
        <f>Q175+Q115+Q158</f>
        <v>2762819.46</v>
      </c>
      <c r="R178" s="49">
        <f>E178-M178-O178-Q178</f>
        <v>-5525638.9200000232</v>
      </c>
      <c r="S178" s="77">
        <f>E178-M178-O178+Q178</f>
        <v>-2.3283064365386963E-8</v>
      </c>
    </row>
    <row r="179" spans="1:19" ht="12.75" customHeight="1" x14ac:dyDescent="0.25">
      <c r="A179" s="5"/>
      <c r="B179" s="5"/>
      <c r="C179" s="5"/>
      <c r="D179" s="1"/>
      <c r="E179" s="80"/>
      <c r="G179" s="80"/>
      <c r="I179" s="34"/>
      <c r="K179" s="80"/>
      <c r="M179" s="34"/>
      <c r="O179" s="34"/>
      <c r="Q179" s="34"/>
      <c r="R179" s="49"/>
    </row>
    <row r="180" spans="1:19" ht="12.75" customHeight="1" x14ac:dyDescent="0.25">
      <c r="A180" s="5"/>
      <c r="B180" s="38"/>
      <c r="E180" s="30"/>
    </row>
    <row r="181" spans="1:19" ht="12.75" customHeight="1" x14ac:dyDescent="0.25">
      <c r="A181" s="31" t="s">
        <v>272</v>
      </c>
      <c r="B181" s="5"/>
      <c r="C181" s="1"/>
      <c r="D181" s="1"/>
      <c r="E181" s="6">
        <f>SUM(G181:K181)</f>
        <v>3847595.8500000006</v>
      </c>
      <c r="G181" s="6">
        <v>3782142.7</v>
      </c>
      <c r="I181" s="6">
        <v>25113.66</v>
      </c>
      <c r="K181" s="6">
        <v>40339.49</v>
      </c>
      <c r="M181" s="6">
        <v>2394023.29</v>
      </c>
      <c r="O181" s="6">
        <v>1453572.56</v>
      </c>
      <c r="Q181" s="6"/>
      <c r="R181" s="49">
        <f>E181-M181-O181-Q181</f>
        <v>4.6566128730773926E-10</v>
      </c>
      <c r="S181" s="77">
        <f>E181-M181-O181+Q181</f>
        <v>4.6566128730773926E-10</v>
      </c>
    </row>
    <row r="182" spans="1:19" ht="12.75" customHeight="1" x14ac:dyDescent="0.25">
      <c r="A182" s="5"/>
      <c r="B182" s="38"/>
      <c r="E182" s="30"/>
    </row>
    <row r="183" spans="1:19" ht="12.75" customHeight="1" x14ac:dyDescent="0.25">
      <c r="A183" s="38" t="s">
        <v>222</v>
      </c>
      <c r="E183" s="30"/>
    </row>
    <row r="184" spans="1:19" ht="12.75" customHeight="1" x14ac:dyDescent="0.25">
      <c r="A184" s="5"/>
      <c r="B184" s="42" t="s">
        <v>82</v>
      </c>
      <c r="E184" s="30"/>
    </row>
    <row r="185" spans="1:19" ht="12.75" customHeight="1" x14ac:dyDescent="0.25">
      <c r="A185" s="38"/>
      <c r="E185" s="30"/>
    </row>
    <row r="186" spans="1:19" ht="12.75" customHeight="1" x14ac:dyDescent="0.25">
      <c r="A186" s="5"/>
      <c r="B186" s="1" t="s">
        <v>11</v>
      </c>
      <c r="E186" s="54">
        <f>G186+I186+K186</f>
        <v>4732499.74</v>
      </c>
      <c r="G186" s="53">
        <v>4610379.04</v>
      </c>
      <c r="H186" s="51"/>
      <c r="I186" s="53"/>
      <c r="J186" s="51"/>
      <c r="K186" s="53">
        <v>122120.7</v>
      </c>
      <c r="L186" s="51"/>
      <c r="M186" s="53">
        <v>3401846.42</v>
      </c>
      <c r="N186" s="51"/>
      <c r="O186" s="53">
        <v>1329553.56</v>
      </c>
      <c r="P186" s="51"/>
      <c r="Q186" s="53">
        <v>-1099.76</v>
      </c>
      <c r="R186" s="49">
        <f>E186-M186-O186-Q186</f>
        <v>2199.5200000002424</v>
      </c>
      <c r="S186" s="77">
        <f>E186-M186-O186+Q186</f>
        <v>2.4215296434704214E-10</v>
      </c>
    </row>
    <row r="187" spans="1:19" ht="12.75" customHeight="1" x14ac:dyDescent="0.25">
      <c r="A187" s="5"/>
      <c r="E187" s="34"/>
      <c r="G187" s="39"/>
      <c r="H187" s="37"/>
      <c r="I187" s="39"/>
      <c r="J187" s="37"/>
      <c r="K187" s="39"/>
      <c r="L187" s="37"/>
      <c r="M187" s="39"/>
      <c r="N187" s="37"/>
      <c r="O187" s="39"/>
      <c r="P187" s="37"/>
      <c r="Q187" s="39"/>
    </row>
    <row r="188" spans="1:19" ht="12.75" customHeight="1" x14ac:dyDescent="0.25">
      <c r="A188" s="5"/>
      <c r="B188" s="1" t="s">
        <v>14</v>
      </c>
      <c r="E188" s="54">
        <f>G188+I188+K188</f>
        <v>418830.31</v>
      </c>
      <c r="G188" s="53">
        <v>71940.7</v>
      </c>
      <c r="H188" s="51"/>
      <c r="I188" s="53">
        <v>27791.18</v>
      </c>
      <c r="J188" s="51"/>
      <c r="K188" s="53">
        <v>319098.43</v>
      </c>
      <c r="L188" s="51"/>
      <c r="M188" s="53">
        <v>162242.44</v>
      </c>
      <c r="N188" s="51"/>
      <c r="O188" s="53">
        <v>256507.87</v>
      </c>
      <c r="P188" s="51"/>
      <c r="Q188" s="53">
        <v>-80</v>
      </c>
      <c r="R188" s="49">
        <f>E188-M188-O188-Q188</f>
        <v>160</v>
      </c>
      <c r="S188" s="77">
        <f>E188-M188-O188+Q188</f>
        <v>0</v>
      </c>
    </row>
    <row r="189" spans="1:19" ht="15" customHeight="1" x14ac:dyDescent="0.25">
      <c r="A189" s="5"/>
      <c r="B189" s="1"/>
      <c r="E189" s="34"/>
      <c r="G189" s="39"/>
      <c r="H189" s="37"/>
      <c r="I189" s="39"/>
      <c r="J189" s="37"/>
      <c r="K189" s="39"/>
      <c r="L189" s="37"/>
      <c r="M189" s="39"/>
      <c r="N189" s="37"/>
      <c r="O189" s="39"/>
      <c r="P189" s="37"/>
      <c r="Q189" s="39"/>
    </row>
    <row r="190" spans="1:19" ht="15" customHeight="1" x14ac:dyDescent="0.25">
      <c r="A190" s="5"/>
      <c r="B190" s="1" t="s">
        <v>15</v>
      </c>
      <c r="E190" s="54">
        <f>G190+I190+K190</f>
        <v>3629724.52</v>
      </c>
      <c r="G190" s="53">
        <v>2331476.04</v>
      </c>
      <c r="H190" s="51"/>
      <c r="I190" s="53">
        <v>385639.08</v>
      </c>
      <c r="J190" s="51"/>
      <c r="K190" s="53">
        <v>912609.4</v>
      </c>
      <c r="L190" s="51"/>
      <c r="M190" s="53">
        <v>2048327.26</v>
      </c>
      <c r="N190" s="51"/>
      <c r="O190" s="53">
        <v>1580074.17</v>
      </c>
      <c r="P190" s="51"/>
      <c r="Q190" s="53">
        <v>-1323.09</v>
      </c>
      <c r="R190" s="49">
        <f>E190-M190-O190-Q190</f>
        <v>2646.180000000084</v>
      </c>
      <c r="S190" s="77">
        <f>E190-M190-O190+Q190</f>
        <v>8.390088623855263E-11</v>
      </c>
    </row>
    <row r="191" spans="1:19" ht="15" customHeight="1" x14ac:dyDescent="0.25">
      <c r="A191" s="5"/>
      <c r="B191" s="1"/>
      <c r="E191" s="34"/>
      <c r="G191" s="39"/>
      <c r="H191" s="37"/>
      <c r="I191" s="39"/>
      <c r="J191" s="37"/>
      <c r="K191" s="39"/>
      <c r="L191" s="37"/>
      <c r="M191" s="39"/>
      <c r="N191" s="37"/>
      <c r="O191" s="39"/>
      <c r="P191" s="37"/>
      <c r="Q191" s="39"/>
    </row>
    <row r="192" spans="1:19" ht="12.75" customHeight="1" x14ac:dyDescent="0.25">
      <c r="A192" s="5"/>
      <c r="B192" s="1"/>
      <c r="D192" s="33" t="s">
        <v>229</v>
      </c>
      <c r="E192" s="34"/>
      <c r="G192" s="39"/>
      <c r="H192" s="37"/>
      <c r="I192" s="39"/>
      <c r="J192" s="37"/>
      <c r="K192" s="39"/>
      <c r="L192" s="37"/>
      <c r="M192" s="39"/>
      <c r="N192" s="37"/>
      <c r="O192" s="39"/>
      <c r="P192" s="37"/>
      <c r="Q192" s="39"/>
    </row>
    <row r="193" spans="1:19" ht="12.75" customHeight="1" x14ac:dyDescent="0.25">
      <c r="A193" s="38"/>
      <c r="D193" s="33" t="s">
        <v>83</v>
      </c>
      <c r="E193" s="6">
        <f>G193+I193+K193</f>
        <v>8781054.5700000003</v>
      </c>
      <c r="G193" s="6">
        <f>SUM(G186:G190)</f>
        <v>7013795.7800000003</v>
      </c>
      <c r="H193" s="41"/>
      <c r="I193" s="6">
        <f>SUM(I186:I190)</f>
        <v>413430.26</v>
      </c>
      <c r="J193" s="6"/>
      <c r="K193" s="6">
        <f>SUM(K186:K190)</f>
        <v>1353828.53</v>
      </c>
      <c r="L193" s="41"/>
      <c r="M193" s="6">
        <f>SUM(M186:M190)</f>
        <v>5612416.1200000001</v>
      </c>
      <c r="N193" s="41"/>
      <c r="O193" s="6">
        <f>SUM(O186:O190)</f>
        <v>3166135.6</v>
      </c>
      <c r="P193" s="37"/>
      <c r="Q193" s="6">
        <f>SUM(Q186:Q190)</f>
        <v>-2502.85</v>
      </c>
      <c r="R193" s="49">
        <f>E193-M193-O193-Q193</f>
        <v>5005.7000000000935</v>
      </c>
      <c r="S193" s="77">
        <f>E193-M193-O193+Q193</f>
        <v>9.3223206931725144E-11</v>
      </c>
    </row>
    <row r="194" spans="1:19" ht="12.75" customHeight="1" x14ac:dyDescent="0.25">
      <c r="A194" s="38"/>
      <c r="E194" s="30"/>
    </row>
    <row r="195" spans="1:19" ht="12.75" customHeight="1" x14ac:dyDescent="0.25">
      <c r="A195" s="31" t="s">
        <v>295</v>
      </c>
      <c r="B195" s="38"/>
      <c r="E195" s="30"/>
    </row>
    <row r="196" spans="1:19" ht="12.75" customHeight="1" x14ac:dyDescent="0.25">
      <c r="A196" s="5"/>
      <c r="B196" s="38"/>
      <c r="E196" s="30"/>
    </row>
    <row r="197" spans="1:19" ht="12.75" customHeight="1" x14ac:dyDescent="0.25">
      <c r="A197" s="5"/>
      <c r="B197" s="1" t="s">
        <v>11</v>
      </c>
      <c r="E197" s="34">
        <f>SUM(G197:K197)</f>
        <v>237856.90000000002</v>
      </c>
      <c r="F197" s="40"/>
      <c r="G197" s="34">
        <v>235281.92000000001</v>
      </c>
      <c r="H197" s="35"/>
      <c r="I197" s="34"/>
      <c r="J197" s="35"/>
      <c r="K197" s="34">
        <v>2574.98</v>
      </c>
      <c r="L197" s="35"/>
      <c r="M197" s="34">
        <v>144560.25</v>
      </c>
      <c r="N197" s="35"/>
      <c r="O197" s="34">
        <v>93286.65</v>
      </c>
      <c r="P197" s="35"/>
      <c r="Q197" s="34">
        <v>-10</v>
      </c>
      <c r="R197" s="49">
        <f>E197-M197-O197-Q197</f>
        <v>20.000000000029104</v>
      </c>
      <c r="S197" s="77">
        <f>E197-M197-O197+Q197</f>
        <v>2.9103830456733704E-11</v>
      </c>
    </row>
    <row r="198" spans="1:19" ht="12.75" customHeight="1" x14ac:dyDescent="0.25">
      <c r="A198" s="5"/>
      <c r="E198" s="34"/>
      <c r="G198" s="39"/>
      <c r="H198" s="37"/>
      <c r="I198" s="39"/>
      <c r="J198" s="37"/>
      <c r="K198" s="39"/>
      <c r="L198" s="37"/>
      <c r="M198" s="39"/>
      <c r="N198" s="37"/>
      <c r="O198" s="39"/>
      <c r="P198" s="37"/>
      <c r="Q198" s="39"/>
    </row>
    <row r="199" spans="1:19" ht="12.75" customHeight="1" x14ac:dyDescent="0.25">
      <c r="A199" s="5"/>
      <c r="B199" s="1" t="s">
        <v>14</v>
      </c>
      <c r="E199" s="54">
        <f>G199+I199+K199</f>
        <v>525038.63</v>
      </c>
      <c r="G199" s="53">
        <v>487341.44</v>
      </c>
      <c r="H199" s="51"/>
      <c r="I199" s="53">
        <v>25276.67</v>
      </c>
      <c r="J199" s="51"/>
      <c r="K199" s="53">
        <v>12420.52</v>
      </c>
      <c r="L199" s="51"/>
      <c r="M199" s="53">
        <v>296913.62</v>
      </c>
      <c r="N199" s="51"/>
      <c r="O199" s="53">
        <v>228005.01</v>
      </c>
      <c r="P199" s="51"/>
      <c r="Q199" s="53">
        <v>-120</v>
      </c>
      <c r="R199" s="49">
        <f>E199-M199-O199-Q199</f>
        <v>240</v>
      </c>
      <c r="S199" s="77">
        <f>E199-M199-O199+Q199</f>
        <v>0</v>
      </c>
    </row>
    <row r="200" spans="1:19" ht="12.75" customHeight="1" x14ac:dyDescent="0.25">
      <c r="A200" s="5"/>
      <c r="B200" s="1"/>
      <c r="E200" s="54"/>
      <c r="G200" s="53"/>
      <c r="H200" s="51"/>
      <c r="I200" s="53"/>
      <c r="J200" s="51"/>
      <c r="K200" s="53"/>
      <c r="L200" s="51"/>
      <c r="M200" s="53"/>
      <c r="N200" s="51"/>
      <c r="O200" s="53"/>
      <c r="P200" s="51"/>
      <c r="Q200" s="53"/>
      <c r="R200" s="49"/>
      <c r="S200" s="77"/>
    </row>
    <row r="201" spans="1:19" ht="12.75" customHeight="1" x14ac:dyDescent="0.25">
      <c r="A201" s="5"/>
      <c r="B201" s="5"/>
      <c r="C201" s="5"/>
      <c r="D201" s="1" t="s">
        <v>2</v>
      </c>
      <c r="E201" s="6">
        <f>SUM(G201:K201)</f>
        <v>762895.53</v>
      </c>
      <c r="G201" s="6">
        <f>G197+G199</f>
        <v>722623.36</v>
      </c>
      <c r="I201" s="6">
        <f>I197+I199</f>
        <v>25276.67</v>
      </c>
      <c r="K201" s="6">
        <f>K197+K199</f>
        <v>14995.5</v>
      </c>
      <c r="M201" s="6">
        <f>M197+M199</f>
        <v>441473.87</v>
      </c>
      <c r="O201" s="6">
        <f>O197+O199</f>
        <v>321291.66000000003</v>
      </c>
      <c r="Q201" s="6">
        <f>Q197+Q199</f>
        <v>-130</v>
      </c>
      <c r="R201" s="49">
        <f>E201-M201-O201-Q201</f>
        <v>260</v>
      </c>
      <c r="S201" s="77">
        <f>E201-M201-O201+Q201</f>
        <v>0</v>
      </c>
    </row>
    <row r="202" spans="1:19" ht="12.75" customHeight="1" x14ac:dyDescent="0.25">
      <c r="A202" s="5"/>
      <c r="B202" s="38"/>
      <c r="E202" s="30"/>
    </row>
    <row r="203" spans="1:19" ht="12.75" customHeight="1" x14ac:dyDescent="0.25">
      <c r="A203" s="38" t="s">
        <v>257</v>
      </c>
      <c r="E203" s="30"/>
    </row>
    <row r="204" spans="1:19" ht="12.75" customHeight="1" x14ac:dyDescent="0.25">
      <c r="A204" s="38"/>
      <c r="E204" s="30"/>
    </row>
    <row r="205" spans="1:19" ht="12.75" customHeight="1" x14ac:dyDescent="0.25">
      <c r="A205" s="38"/>
      <c r="B205" s="1" t="s">
        <v>14</v>
      </c>
      <c r="D205" s="33"/>
      <c r="E205" s="54">
        <f>G205+I205+K205</f>
        <v>29224317.34</v>
      </c>
      <c r="G205" s="53">
        <v>1838058.79</v>
      </c>
      <c r="H205" s="51"/>
      <c r="I205" s="53">
        <v>2917924.5</v>
      </c>
      <c r="J205" s="51"/>
      <c r="K205" s="53">
        <v>24468334.050000001</v>
      </c>
      <c r="L205" s="51"/>
      <c r="M205" s="53">
        <v>10123413.720000001</v>
      </c>
      <c r="N205" s="51"/>
      <c r="O205" s="53">
        <v>19392521.989999998</v>
      </c>
      <c r="P205" s="51"/>
      <c r="Q205" s="53">
        <v>291618.37</v>
      </c>
      <c r="R205" s="49">
        <f>E205-M205-O205-Q205</f>
        <v>-583236.74000000104</v>
      </c>
      <c r="S205" s="77">
        <f>E205-M205-O205+Q205</f>
        <v>-1.0477378964424133E-9</v>
      </c>
    </row>
    <row r="206" spans="1:19" ht="12.75" customHeight="1" x14ac:dyDescent="0.25">
      <c r="A206" s="38"/>
      <c r="D206" s="33"/>
      <c r="E206" s="30"/>
    </row>
    <row r="207" spans="1:19" ht="12.75" customHeight="1" x14ac:dyDescent="0.25">
      <c r="A207" s="31" t="s">
        <v>84</v>
      </c>
    </row>
    <row r="208" spans="1:19" ht="12.75" customHeight="1" x14ac:dyDescent="0.25">
      <c r="A208" s="33"/>
    </row>
    <row r="209" spans="1:19" ht="12.75" customHeight="1" x14ac:dyDescent="0.25">
      <c r="A209" s="5"/>
      <c r="B209" s="1" t="s">
        <v>14</v>
      </c>
      <c r="E209" s="54">
        <f>G209+I209+K209</f>
        <v>81775.88</v>
      </c>
      <c r="G209" s="53">
        <v>76949.14</v>
      </c>
      <c r="H209" s="51"/>
      <c r="I209" s="53">
        <v>4826.74</v>
      </c>
      <c r="J209" s="51"/>
      <c r="K209" s="53"/>
      <c r="L209" s="51"/>
      <c r="M209" s="53">
        <v>58781.4</v>
      </c>
      <c r="N209" s="51"/>
      <c r="O209" s="53">
        <v>22994.48</v>
      </c>
      <c r="P209" s="51"/>
      <c r="Q209" s="53"/>
      <c r="R209" s="49">
        <f>E209-M209-O209-Q209</f>
        <v>3.637978807091713E-12</v>
      </c>
      <c r="S209" s="77">
        <f>E209-M209-O209+Q209</f>
        <v>3.637978807091713E-12</v>
      </c>
    </row>
    <row r="210" spans="1:19" ht="12.75" customHeight="1" x14ac:dyDescent="0.25">
      <c r="A210" s="33"/>
    </row>
    <row r="211" spans="1:19" ht="12.75" customHeight="1" x14ac:dyDescent="0.25">
      <c r="A211" s="5"/>
      <c r="B211" s="1" t="s">
        <v>15</v>
      </c>
      <c r="E211" s="54">
        <f>G211+I211+K211</f>
        <v>2181306.62</v>
      </c>
      <c r="G211" s="53">
        <v>1650958.36</v>
      </c>
      <c r="H211" s="51"/>
      <c r="I211" s="53">
        <v>525748.67000000004</v>
      </c>
      <c r="J211" s="51"/>
      <c r="K211" s="53">
        <v>4599.59</v>
      </c>
      <c r="L211" s="51"/>
      <c r="M211" s="53">
        <v>1409618.68</v>
      </c>
      <c r="N211" s="51"/>
      <c r="O211" s="53">
        <v>771567.94</v>
      </c>
      <c r="P211" s="51"/>
      <c r="Q211" s="53">
        <v>-120</v>
      </c>
      <c r="R211" s="49">
        <f>E211-M211-O211-Q211</f>
        <v>240.00000000023283</v>
      </c>
      <c r="S211" s="77">
        <f>E211-M211-O211+Q211</f>
        <v>2.3283064365386963E-10</v>
      </c>
    </row>
    <row r="212" spans="1:19" ht="12.75" customHeight="1" x14ac:dyDescent="0.25">
      <c r="A212" s="33"/>
      <c r="O212" s="25" t="s">
        <v>240</v>
      </c>
    </row>
    <row r="213" spans="1:19" ht="12.75" customHeight="1" x14ac:dyDescent="0.25">
      <c r="A213" s="5"/>
      <c r="C213" s="5"/>
      <c r="D213" s="33" t="s">
        <v>85</v>
      </c>
      <c r="E213" s="6">
        <f>G213+I213+K213</f>
        <v>2263082.5</v>
      </c>
      <c r="G213" s="6">
        <f>SUM(G209:G211)</f>
        <v>1727907.5</v>
      </c>
      <c r="I213" s="6">
        <f>SUM(I209:I211)</f>
        <v>530575.41</v>
      </c>
      <c r="K213" s="6">
        <f>SUM(K209:K211)</f>
        <v>4599.59</v>
      </c>
      <c r="M213" s="6">
        <f>SUM(M209:M211)</f>
        <v>1468400.0799999998</v>
      </c>
      <c r="O213" s="6">
        <f>SUM(O209:O211)</f>
        <v>794562.41999999993</v>
      </c>
      <c r="Q213" s="6">
        <f>SUM(Q209:Q211)</f>
        <v>-120</v>
      </c>
      <c r="R213" s="49">
        <f>E213-M213-O213-Q213</f>
        <v>240.00000000023283</v>
      </c>
      <c r="S213" s="77">
        <f>E213-M213-O213+Q213</f>
        <v>2.3283064365386963E-10</v>
      </c>
    </row>
    <row r="214" spans="1:19" ht="12.75" customHeight="1" x14ac:dyDescent="0.25">
      <c r="A214" s="38"/>
    </row>
    <row r="215" spans="1:19" ht="12.75" customHeight="1" x14ac:dyDescent="0.25">
      <c r="A215" s="31" t="s">
        <v>92</v>
      </c>
    </row>
    <row r="216" spans="1:19" ht="12.75" customHeight="1" x14ac:dyDescent="0.25">
      <c r="A216" s="33"/>
    </row>
    <row r="217" spans="1:19" ht="12.75" customHeight="1" x14ac:dyDescent="0.25">
      <c r="A217" s="5"/>
      <c r="B217" s="1" t="s">
        <v>11</v>
      </c>
    </row>
    <row r="218" spans="1:19" ht="12.75" customHeight="1" x14ac:dyDescent="0.25">
      <c r="A218" s="5"/>
      <c r="B218" s="5">
        <v>3</v>
      </c>
      <c r="C218" s="1" t="s">
        <v>110</v>
      </c>
      <c r="D218" s="1"/>
      <c r="E218" s="30">
        <f>SUM(G218:K218)</f>
        <v>18.63</v>
      </c>
      <c r="G218" s="52">
        <v>18.63</v>
      </c>
      <c r="H218" s="51"/>
      <c r="I218" s="52"/>
      <c r="J218" s="51"/>
      <c r="K218" s="52"/>
      <c r="L218" s="51"/>
      <c r="M218" s="52"/>
      <c r="N218" s="51"/>
      <c r="O218" s="52">
        <v>18.63</v>
      </c>
      <c r="P218" s="51"/>
      <c r="Q218" s="52"/>
      <c r="R218" s="49">
        <f>E218-M218-O218-Q218</f>
        <v>0</v>
      </c>
      <c r="S218" s="77">
        <f t="shared" ref="S218:S227" si="23">E218-M218-O218+Q218</f>
        <v>0</v>
      </c>
    </row>
    <row r="219" spans="1:19" ht="12.75" customHeight="1" x14ac:dyDescent="0.25">
      <c r="A219" s="5"/>
      <c r="B219" s="5">
        <v>3</v>
      </c>
      <c r="C219" s="1" t="s">
        <v>93</v>
      </c>
      <c r="D219" s="1"/>
      <c r="E219" s="30">
        <f>SUM(G219:K219)</f>
        <v>1593386.24</v>
      </c>
      <c r="G219" s="52">
        <v>751360.51</v>
      </c>
      <c r="H219" s="51"/>
      <c r="I219" s="52">
        <v>203161.09</v>
      </c>
      <c r="J219" s="51"/>
      <c r="K219" s="52">
        <v>638864.64000000001</v>
      </c>
      <c r="L219" s="51"/>
      <c r="M219" s="52">
        <v>887205.81</v>
      </c>
      <c r="N219" s="51"/>
      <c r="O219" s="52">
        <v>761130.75</v>
      </c>
      <c r="P219" s="51"/>
      <c r="Q219" s="52">
        <v>54950.32</v>
      </c>
      <c r="R219" s="49">
        <f>E219-M219-O219-Q219</f>
        <v>-109900.64000000007</v>
      </c>
      <c r="S219" s="77">
        <f t="shared" si="23"/>
        <v>-6.5483618527650833E-11</v>
      </c>
    </row>
    <row r="220" spans="1:19" ht="12.75" customHeight="1" x14ac:dyDescent="0.25">
      <c r="A220" s="5"/>
      <c r="B220" s="5">
        <v>4</v>
      </c>
      <c r="C220" s="1" t="s">
        <v>94</v>
      </c>
      <c r="D220" s="1"/>
      <c r="E220" s="30">
        <f>SUM(G220:K220)</f>
        <v>0</v>
      </c>
      <c r="G220" s="52"/>
      <c r="H220" s="51"/>
      <c r="I220" s="52"/>
      <c r="J220" s="51"/>
      <c r="K220" s="52"/>
      <c r="L220" s="51"/>
      <c r="M220" s="52"/>
      <c r="N220" s="51"/>
      <c r="O220" s="52"/>
      <c r="P220" s="51"/>
      <c r="Q220" s="52"/>
      <c r="R220" s="49">
        <f t="shared" ref="R220:R226" si="24">E220-M220-O220-Q220</f>
        <v>0</v>
      </c>
      <c r="S220" s="77">
        <f t="shared" si="23"/>
        <v>0</v>
      </c>
    </row>
    <row r="221" spans="1:19" ht="12.75" customHeight="1" x14ac:dyDescent="0.25">
      <c r="A221" s="5"/>
      <c r="B221" s="5">
        <v>5</v>
      </c>
      <c r="C221" s="1" t="s">
        <v>95</v>
      </c>
      <c r="D221" s="1"/>
      <c r="E221" s="30">
        <f>SUM(G221:K221)</f>
        <v>1284265.02</v>
      </c>
      <c r="G221" s="52">
        <v>1176502.3899999999</v>
      </c>
      <c r="H221" s="51"/>
      <c r="I221" s="52">
        <v>107762.63</v>
      </c>
      <c r="J221" s="51"/>
      <c r="K221" s="52"/>
      <c r="L221" s="51"/>
      <c r="M221" s="52">
        <v>713881.07</v>
      </c>
      <c r="N221" s="51"/>
      <c r="O221" s="52">
        <v>570315.94999999995</v>
      </c>
      <c r="P221" s="51"/>
      <c r="Q221" s="52">
        <v>-68</v>
      </c>
      <c r="R221" s="49">
        <f t="shared" si="24"/>
        <v>136.00000000011642</v>
      </c>
      <c r="S221" s="77">
        <f t="shared" si="23"/>
        <v>1.1641532182693481E-10</v>
      </c>
    </row>
    <row r="222" spans="1:19" ht="12.75" customHeight="1" x14ac:dyDescent="0.25">
      <c r="A222" s="5"/>
      <c r="B222" s="5">
        <v>6</v>
      </c>
      <c r="C222" s="1" t="s">
        <v>96</v>
      </c>
      <c r="D222" s="1"/>
      <c r="G222" s="52"/>
      <c r="H222" s="51"/>
      <c r="I222" s="52"/>
      <c r="J222" s="51"/>
      <c r="K222" s="52"/>
      <c r="L222" s="51"/>
      <c r="M222" s="52"/>
      <c r="N222" s="51"/>
      <c r="O222" s="52"/>
      <c r="P222" s="51"/>
      <c r="Q222" s="52"/>
      <c r="R222" s="49">
        <f t="shared" si="24"/>
        <v>0</v>
      </c>
      <c r="S222" s="77">
        <f t="shared" si="23"/>
        <v>0</v>
      </c>
    </row>
    <row r="223" spans="1:19" ht="12.75" customHeight="1" x14ac:dyDescent="0.25">
      <c r="A223" s="5"/>
      <c r="B223" s="5">
        <v>7</v>
      </c>
      <c r="C223" s="5"/>
      <c r="D223" s="1" t="s">
        <v>97</v>
      </c>
      <c r="E223" s="30">
        <f>SUM(G223:K223)</f>
        <v>11205.58</v>
      </c>
      <c r="G223" s="52">
        <v>11205.58</v>
      </c>
      <c r="H223" s="51"/>
      <c r="I223" s="52"/>
      <c r="J223" s="51"/>
      <c r="K223" s="52"/>
      <c r="L223" s="51"/>
      <c r="M223" s="52">
        <v>8415.9599999999991</v>
      </c>
      <c r="N223" s="51"/>
      <c r="O223" s="52">
        <v>2789.62</v>
      </c>
      <c r="P223" s="51"/>
      <c r="Q223" s="52"/>
      <c r="R223" s="49">
        <f t="shared" si="24"/>
        <v>9.0949470177292824E-13</v>
      </c>
      <c r="S223" s="77">
        <f t="shared" si="23"/>
        <v>9.0949470177292824E-13</v>
      </c>
    </row>
    <row r="224" spans="1:19" ht="12.75" customHeight="1" x14ac:dyDescent="0.25">
      <c r="A224" s="5"/>
      <c r="B224" s="5">
        <v>8</v>
      </c>
      <c r="C224" s="1" t="s">
        <v>98</v>
      </c>
      <c r="D224" s="1"/>
      <c r="E224" s="30">
        <f>SUM(G224:K224)</f>
        <v>0</v>
      </c>
      <c r="G224" s="52"/>
      <c r="H224" s="51"/>
      <c r="I224" s="52"/>
      <c r="J224" s="51"/>
      <c r="K224" s="52"/>
      <c r="L224" s="51"/>
      <c r="M224" s="52"/>
      <c r="N224" s="51"/>
      <c r="O224" s="52"/>
      <c r="P224" s="51"/>
      <c r="Q224" s="52"/>
      <c r="R224" s="49">
        <f t="shared" si="24"/>
        <v>0</v>
      </c>
      <c r="S224" s="77">
        <f t="shared" si="23"/>
        <v>0</v>
      </c>
    </row>
    <row r="225" spans="1:19" ht="12.75" customHeight="1" x14ac:dyDescent="0.25">
      <c r="A225" s="5"/>
      <c r="B225" s="5">
        <v>9</v>
      </c>
      <c r="C225" s="1" t="s">
        <v>99</v>
      </c>
      <c r="D225" s="1"/>
      <c r="E225" s="30">
        <f>SUM(G225:K225)</f>
        <v>-524173.26</v>
      </c>
      <c r="G225" s="52"/>
      <c r="H225" s="51"/>
      <c r="I225" s="52">
        <v>-524173.26</v>
      </c>
      <c r="J225" s="51"/>
      <c r="K225" s="52"/>
      <c r="L225" s="51"/>
      <c r="M225" s="52"/>
      <c r="N225" s="51"/>
      <c r="O225" s="52">
        <v>-524173.26</v>
      </c>
      <c r="P225" s="51"/>
      <c r="Q225" s="52"/>
      <c r="R225" s="49">
        <f t="shared" si="24"/>
        <v>0</v>
      </c>
      <c r="S225" s="77">
        <f t="shared" si="23"/>
        <v>0</v>
      </c>
    </row>
    <row r="226" spans="1:19" ht="12.75" customHeight="1" x14ac:dyDescent="0.25">
      <c r="A226" s="5"/>
      <c r="B226" s="5">
        <v>10</v>
      </c>
      <c r="C226" s="1" t="s">
        <v>100</v>
      </c>
      <c r="D226" s="1"/>
      <c r="E226" s="30">
        <f>SUM(G226:K226)</f>
        <v>-88071.46</v>
      </c>
      <c r="G226" s="52">
        <v>-123977.52</v>
      </c>
      <c r="H226" s="51"/>
      <c r="I226" s="52">
        <v>62448.37</v>
      </c>
      <c r="J226" s="51"/>
      <c r="K226" s="52">
        <v>-26542.31</v>
      </c>
      <c r="L226" s="51"/>
      <c r="M226" s="52">
        <v>-61860.19</v>
      </c>
      <c r="N226" s="51"/>
      <c r="O226" s="52">
        <v>-26211.27</v>
      </c>
      <c r="P226" s="51"/>
      <c r="Q226" s="52"/>
      <c r="R226" s="49">
        <f t="shared" si="24"/>
        <v>-3.637978807091713E-12</v>
      </c>
      <c r="S226" s="77">
        <f t="shared" si="23"/>
        <v>-3.637978807091713E-12</v>
      </c>
    </row>
    <row r="227" spans="1:19" ht="12.75" customHeight="1" x14ac:dyDescent="0.25">
      <c r="A227" s="5"/>
      <c r="B227" s="5">
        <v>11</v>
      </c>
      <c r="C227" s="1" t="s">
        <v>101</v>
      </c>
      <c r="D227" s="1"/>
      <c r="E227" s="54">
        <f>G227+I227+K227</f>
        <v>0</v>
      </c>
      <c r="G227" s="53"/>
      <c r="H227" s="51"/>
      <c r="I227" s="53"/>
      <c r="J227" s="51"/>
      <c r="K227" s="53"/>
      <c r="L227" s="51"/>
      <c r="M227" s="53"/>
      <c r="N227" s="51"/>
      <c r="O227" s="53"/>
      <c r="P227" s="51"/>
      <c r="Q227" s="53">
        <v>0</v>
      </c>
      <c r="R227" s="49">
        <f>E227-M227-O227-Q227</f>
        <v>0</v>
      </c>
      <c r="S227" s="77">
        <f t="shared" si="23"/>
        <v>0</v>
      </c>
    </row>
    <row r="228" spans="1:19" ht="12.75" customHeight="1" x14ac:dyDescent="0.25">
      <c r="A228" s="5"/>
      <c r="B228" s="33"/>
    </row>
    <row r="229" spans="1:19" ht="12.75" customHeight="1" x14ac:dyDescent="0.25">
      <c r="A229" s="5"/>
      <c r="B229" s="5"/>
      <c r="C229" s="5"/>
      <c r="D229" s="1" t="s">
        <v>2</v>
      </c>
      <c r="E229" s="6">
        <f>G229+I229+K229</f>
        <v>2276630.75</v>
      </c>
      <c r="G229" s="6">
        <f>SUM(G218:G228)</f>
        <v>1815109.5899999999</v>
      </c>
      <c r="I229" s="6">
        <f>SUM(I218:I228)</f>
        <v>-150801.17000000004</v>
      </c>
      <c r="K229" s="6">
        <f>SUM(K218:K228)</f>
        <v>612322.32999999996</v>
      </c>
      <c r="M229" s="6">
        <f>SUM(M218:M228)</f>
        <v>1547642.65</v>
      </c>
      <c r="O229" s="6">
        <f>SUM(O218:O228)</f>
        <v>783870.42000000016</v>
      </c>
      <c r="Q229" s="6">
        <f>SUM(Q218:Q228)</f>
        <v>54882.32</v>
      </c>
      <c r="R229" s="49">
        <f>E229-M229-O229-Q229</f>
        <v>-109764.64000000007</v>
      </c>
      <c r="S229" s="77">
        <f>E229-M229-O229+Q229</f>
        <v>-6.5483618527650833E-11</v>
      </c>
    </row>
    <row r="230" spans="1:19" ht="12.75" customHeight="1" x14ac:dyDescent="0.25">
      <c r="A230" s="5"/>
      <c r="B230" s="1"/>
      <c r="E230" s="34"/>
      <c r="G230" s="34"/>
      <c r="I230" s="34"/>
      <c r="K230" s="34"/>
      <c r="M230" s="34"/>
      <c r="O230" s="34"/>
      <c r="Q230" s="34"/>
    </row>
    <row r="231" spans="1:19" ht="12.75" customHeight="1" x14ac:dyDescent="0.25">
      <c r="A231" s="5"/>
      <c r="B231" s="1" t="s">
        <v>14</v>
      </c>
      <c r="E231" s="34"/>
      <c r="G231" s="34"/>
      <c r="I231" s="34"/>
      <c r="K231" s="34"/>
      <c r="M231" s="34"/>
      <c r="O231" s="34"/>
      <c r="Q231" s="34"/>
    </row>
    <row r="232" spans="1:19" ht="12.75" customHeight="1" x14ac:dyDescent="0.25">
      <c r="A232" s="5"/>
      <c r="B232" s="1"/>
      <c r="C232" s="1" t="s">
        <v>285</v>
      </c>
      <c r="E232" s="30">
        <f>SUM(G232:K232)</f>
        <v>35146.300000000003</v>
      </c>
      <c r="G232" s="52">
        <v>5266.17</v>
      </c>
      <c r="H232" s="51"/>
      <c r="I232" s="52">
        <v>29880.13</v>
      </c>
      <c r="J232" s="51"/>
      <c r="K232" s="52"/>
      <c r="L232" s="51"/>
      <c r="M232" s="52">
        <v>12750.22</v>
      </c>
      <c r="N232" s="51"/>
      <c r="O232" s="52">
        <v>22396.080000000002</v>
      </c>
      <c r="P232" s="51"/>
      <c r="Q232" s="52"/>
      <c r="R232" s="49">
        <f t="shared" ref="R232:R253" si="25">E232-M232-O232-Q232</f>
        <v>0</v>
      </c>
      <c r="S232" s="77">
        <f t="shared" ref="S232:S254" si="26">E232-M232-O232+Q232</f>
        <v>0</v>
      </c>
    </row>
    <row r="233" spans="1:19" ht="12.75" customHeight="1" x14ac:dyDescent="0.25">
      <c r="A233" s="5"/>
      <c r="B233" s="33"/>
      <c r="C233" s="1" t="s">
        <v>102</v>
      </c>
      <c r="E233" s="30">
        <f>SUM(G233:K233)</f>
        <v>552418.59000000008</v>
      </c>
      <c r="G233" s="52">
        <v>205263.85</v>
      </c>
      <c r="H233" s="51"/>
      <c r="I233" s="52">
        <v>20971.54</v>
      </c>
      <c r="J233" s="51"/>
      <c r="K233" s="52">
        <v>326183.2</v>
      </c>
      <c r="L233" s="51"/>
      <c r="M233" s="52">
        <v>303799.93</v>
      </c>
      <c r="N233" s="51"/>
      <c r="O233" s="52">
        <v>248602.66</v>
      </c>
      <c r="P233" s="51"/>
      <c r="Q233" s="52">
        <v>-16</v>
      </c>
      <c r="R233" s="49">
        <f t="shared" si="25"/>
        <v>32.000000000087311</v>
      </c>
      <c r="S233" s="77">
        <f t="shared" si="26"/>
        <v>8.7311491370201111E-11</v>
      </c>
    </row>
    <row r="234" spans="1:19" ht="12.75" customHeight="1" x14ac:dyDescent="0.25">
      <c r="A234" s="5"/>
      <c r="B234" s="33"/>
      <c r="C234" s="1" t="s">
        <v>261</v>
      </c>
      <c r="E234" s="30">
        <f>SUM(G234:K234)</f>
        <v>0</v>
      </c>
      <c r="G234" s="52"/>
      <c r="H234" s="51"/>
      <c r="I234" s="52"/>
      <c r="J234" s="51"/>
      <c r="K234" s="52"/>
      <c r="L234" s="51"/>
      <c r="M234" s="52"/>
      <c r="N234" s="51"/>
      <c r="O234" s="52"/>
      <c r="P234" s="51"/>
      <c r="Q234" s="52"/>
      <c r="R234" s="49">
        <f t="shared" si="25"/>
        <v>0</v>
      </c>
      <c r="S234" s="77">
        <f t="shared" si="26"/>
        <v>0</v>
      </c>
    </row>
    <row r="235" spans="1:19" ht="12.75" customHeight="1" x14ac:dyDescent="0.25">
      <c r="A235" s="5"/>
      <c r="B235" s="33"/>
      <c r="C235" s="1" t="s">
        <v>278</v>
      </c>
      <c r="E235" s="30">
        <f>SUM(G235:K235)</f>
        <v>7620306.2400000002</v>
      </c>
      <c r="G235" s="52">
        <v>1031463.13</v>
      </c>
      <c r="H235" s="51"/>
      <c r="I235" s="52">
        <v>297426.26</v>
      </c>
      <c r="J235" s="51"/>
      <c r="K235" s="52">
        <v>6291416.8499999996</v>
      </c>
      <c r="L235" s="51"/>
      <c r="M235" s="52">
        <v>4021105.31</v>
      </c>
      <c r="N235" s="51"/>
      <c r="O235" s="52">
        <v>3672132.96</v>
      </c>
      <c r="P235" s="51"/>
      <c r="Q235" s="52">
        <v>72932.03</v>
      </c>
      <c r="R235" s="49">
        <f>E235-M235-O235-Q235</f>
        <v>-145864.05999999979</v>
      </c>
      <c r="S235" s="77">
        <f t="shared" si="26"/>
        <v>2.0372681319713593E-10</v>
      </c>
    </row>
    <row r="236" spans="1:19" ht="12.75" customHeight="1" x14ac:dyDescent="0.25">
      <c r="A236" s="5"/>
      <c r="B236" s="33"/>
      <c r="C236" s="1" t="s">
        <v>282</v>
      </c>
      <c r="E236" s="30">
        <f>SUM(G236:K236)</f>
        <v>1937672.46</v>
      </c>
      <c r="G236" s="52">
        <v>1432994.29</v>
      </c>
      <c r="H236" s="51"/>
      <c r="I236" s="52">
        <v>503478.17</v>
      </c>
      <c r="J236" s="51"/>
      <c r="K236" s="52">
        <v>1200</v>
      </c>
      <c r="L236" s="51"/>
      <c r="M236" s="52">
        <v>1142787.02</v>
      </c>
      <c r="N236" s="51"/>
      <c r="O236" s="52">
        <v>791977.44</v>
      </c>
      <c r="P236" s="51"/>
      <c r="Q236" s="52">
        <v>-2908</v>
      </c>
      <c r="R236" s="49">
        <f>E236-M236-O236-Q236</f>
        <v>5816</v>
      </c>
      <c r="S236" s="77">
        <f t="shared" si="26"/>
        <v>0</v>
      </c>
    </row>
    <row r="237" spans="1:19" ht="12.75" customHeight="1" x14ac:dyDescent="0.25">
      <c r="A237" s="5"/>
      <c r="B237" s="33">
        <v>2</v>
      </c>
      <c r="C237" s="1" t="s">
        <v>103</v>
      </c>
      <c r="D237" s="1"/>
      <c r="G237" s="52"/>
      <c r="H237" s="51"/>
      <c r="I237" s="52"/>
      <c r="J237" s="51"/>
      <c r="K237" s="52"/>
      <c r="L237" s="51"/>
      <c r="M237" s="52"/>
      <c r="N237" s="51"/>
      <c r="O237" s="52"/>
      <c r="P237" s="51"/>
      <c r="Q237" s="52"/>
      <c r="R237" s="49">
        <f t="shared" si="25"/>
        <v>0</v>
      </c>
      <c r="S237" s="77">
        <f t="shared" si="26"/>
        <v>0</v>
      </c>
    </row>
    <row r="238" spans="1:19" ht="12.75" customHeight="1" x14ac:dyDescent="0.25">
      <c r="A238" s="5"/>
      <c r="B238" s="33">
        <v>3</v>
      </c>
      <c r="C238" s="5"/>
      <c r="D238" s="1" t="s">
        <v>104</v>
      </c>
      <c r="E238" s="30">
        <f>SUM(G238:K238)</f>
        <v>5723622.3599999994</v>
      </c>
      <c r="F238" s="43"/>
      <c r="G238" s="52">
        <v>1315218.3500000001</v>
      </c>
      <c r="H238" s="51"/>
      <c r="I238" s="52">
        <v>597900.13</v>
      </c>
      <c r="J238" s="51"/>
      <c r="K238" s="52">
        <v>3810503.88</v>
      </c>
      <c r="L238" s="51"/>
      <c r="M238" s="52">
        <v>2898085.46</v>
      </c>
      <c r="N238" s="51"/>
      <c r="O238" s="52">
        <v>2824937.28</v>
      </c>
      <c r="P238" s="51"/>
      <c r="Q238" s="52">
        <v>-599.62</v>
      </c>
      <c r="R238" s="49">
        <f t="shared" si="25"/>
        <v>1199.239999999646</v>
      </c>
      <c r="S238" s="77">
        <f t="shared" si="26"/>
        <v>-3.539071258273907E-10</v>
      </c>
    </row>
    <row r="239" spans="1:19" ht="12.75" customHeight="1" x14ac:dyDescent="0.25">
      <c r="A239" s="5"/>
      <c r="B239" s="33">
        <v>4</v>
      </c>
      <c r="C239" s="1" t="s">
        <v>105</v>
      </c>
      <c r="D239" s="1"/>
      <c r="E239" s="30"/>
      <c r="F239" s="43"/>
      <c r="G239" s="52"/>
      <c r="H239" s="51"/>
      <c r="I239" s="52"/>
      <c r="J239" s="51"/>
      <c r="K239" s="52"/>
      <c r="L239" s="51"/>
      <c r="M239" s="52"/>
      <c r="N239" s="51"/>
      <c r="O239" s="52"/>
      <c r="P239" s="51"/>
      <c r="Q239" s="52"/>
      <c r="R239" s="49">
        <f t="shared" si="25"/>
        <v>0</v>
      </c>
      <c r="S239" s="77">
        <f t="shared" si="26"/>
        <v>0</v>
      </c>
    </row>
    <row r="240" spans="1:19" ht="12.75" customHeight="1" x14ac:dyDescent="0.25">
      <c r="A240" s="5"/>
      <c r="B240" s="33">
        <v>5</v>
      </c>
      <c r="C240" s="1"/>
      <c r="D240" s="1" t="s">
        <v>106</v>
      </c>
      <c r="E240" s="30">
        <f t="shared" ref="E240:E250" si="27">SUM(G240:K240)</f>
        <v>647967.53</v>
      </c>
      <c r="G240" s="52">
        <v>197739.42</v>
      </c>
      <c r="H240" s="51"/>
      <c r="I240" s="52">
        <v>-47237.5</v>
      </c>
      <c r="J240" s="51"/>
      <c r="K240" s="52">
        <v>497465.61</v>
      </c>
      <c r="L240" s="51"/>
      <c r="M240" s="52">
        <v>359620.98</v>
      </c>
      <c r="N240" s="51"/>
      <c r="O240" s="52">
        <v>288422.5</v>
      </c>
      <c r="P240" s="51"/>
      <c r="Q240" s="52">
        <v>75.95</v>
      </c>
      <c r="R240" s="49">
        <f t="shared" si="25"/>
        <v>-151.89999999995342</v>
      </c>
      <c r="S240" s="77">
        <f t="shared" si="26"/>
        <v>4.6568970901716966E-11</v>
      </c>
    </row>
    <row r="241" spans="1:19" ht="12.75" customHeight="1" x14ac:dyDescent="0.25">
      <c r="A241" s="5"/>
      <c r="B241" s="33">
        <v>6</v>
      </c>
      <c r="C241" s="1" t="s">
        <v>107</v>
      </c>
      <c r="D241" s="1"/>
      <c r="E241" s="30">
        <f t="shared" si="27"/>
        <v>190364.05</v>
      </c>
      <c r="G241" s="52">
        <v>17394.28</v>
      </c>
      <c r="H241" s="51"/>
      <c r="I241" s="52"/>
      <c r="J241" s="51"/>
      <c r="K241" s="52">
        <v>172969.77</v>
      </c>
      <c r="L241" s="51"/>
      <c r="M241" s="52">
        <v>94813.13</v>
      </c>
      <c r="N241" s="51"/>
      <c r="O241" s="52">
        <v>95550.92</v>
      </c>
      <c r="P241" s="51"/>
      <c r="Q241" s="52"/>
      <c r="R241" s="49">
        <f t="shared" si="25"/>
        <v>-1.4551915228366852E-11</v>
      </c>
      <c r="S241" s="77">
        <f t="shared" si="26"/>
        <v>-1.4551915228366852E-11</v>
      </c>
    </row>
    <row r="242" spans="1:19" ht="12.75" customHeight="1" x14ac:dyDescent="0.25">
      <c r="A242" s="5"/>
      <c r="B242" s="33">
        <v>6</v>
      </c>
      <c r="C242" s="1" t="s">
        <v>279</v>
      </c>
      <c r="D242" s="1"/>
      <c r="E242" s="30">
        <f>SUM(G242:K242)</f>
        <v>1104533.01</v>
      </c>
      <c r="G242" s="52"/>
      <c r="H242" s="51"/>
      <c r="I242" s="52">
        <v>38251.93</v>
      </c>
      <c r="J242" s="51"/>
      <c r="K242" s="52">
        <v>1066281.08</v>
      </c>
      <c r="L242" s="51"/>
      <c r="M242" s="52">
        <v>413491.24</v>
      </c>
      <c r="N242" s="51"/>
      <c r="O242" s="52">
        <v>691031.77</v>
      </c>
      <c r="P242" s="51"/>
      <c r="Q242" s="52">
        <v>-10</v>
      </c>
      <c r="R242" s="49">
        <f>E242-M242-O242-Q242</f>
        <v>20</v>
      </c>
      <c r="S242" s="77">
        <f t="shared" si="26"/>
        <v>0</v>
      </c>
    </row>
    <row r="243" spans="1:19" ht="12.75" customHeight="1" x14ac:dyDescent="0.25">
      <c r="A243" s="5"/>
      <c r="B243" s="33">
        <v>7</v>
      </c>
      <c r="C243" s="1" t="s">
        <v>109</v>
      </c>
      <c r="D243" s="1"/>
      <c r="E243" s="30">
        <f t="shared" si="27"/>
        <v>7282759.5199999996</v>
      </c>
      <c r="G243" s="52">
        <v>1746384.46</v>
      </c>
      <c r="H243" s="51"/>
      <c r="I243" s="52">
        <v>313047.46000000002</v>
      </c>
      <c r="J243" s="51"/>
      <c r="K243" s="52">
        <v>5223327.5999999996</v>
      </c>
      <c r="L243" s="51"/>
      <c r="M243" s="52">
        <v>3296720.11</v>
      </c>
      <c r="N243" s="51"/>
      <c r="O243" s="52">
        <v>3982284.41</v>
      </c>
      <c r="P243" s="51"/>
      <c r="Q243" s="52">
        <v>-3755</v>
      </c>
      <c r="R243" s="49">
        <f t="shared" si="25"/>
        <v>7509.9999999995343</v>
      </c>
      <c r="S243" s="77">
        <f t="shared" si="26"/>
        <v>-4.6566128730773926E-10</v>
      </c>
    </row>
    <row r="244" spans="1:19" ht="12.75" customHeight="1" x14ac:dyDescent="0.25">
      <c r="A244" s="5"/>
      <c r="B244" s="33"/>
      <c r="C244" s="1" t="s">
        <v>262</v>
      </c>
      <c r="D244" s="1"/>
      <c r="E244" s="30">
        <f>SUM(G244:K244)</f>
        <v>2749057.16</v>
      </c>
      <c r="G244" s="52">
        <v>367412.85</v>
      </c>
      <c r="H244" s="51"/>
      <c r="I244" s="52">
        <v>114439.84</v>
      </c>
      <c r="J244" s="51"/>
      <c r="K244" s="52">
        <v>2267204.4700000002</v>
      </c>
      <c r="L244" s="51"/>
      <c r="M244" s="52">
        <v>1552620.48</v>
      </c>
      <c r="N244" s="51"/>
      <c r="O244" s="52">
        <v>1567939.58</v>
      </c>
      <c r="P244" s="51"/>
      <c r="Q244" s="52">
        <v>371502.9</v>
      </c>
      <c r="R244" s="49">
        <f t="shared" si="25"/>
        <v>-743005.79999999993</v>
      </c>
      <c r="S244" s="77">
        <f t="shared" si="26"/>
        <v>0</v>
      </c>
    </row>
    <row r="245" spans="1:19" ht="12.75" customHeight="1" x14ac:dyDescent="0.25">
      <c r="A245" s="5"/>
      <c r="B245" s="33"/>
      <c r="C245" s="1" t="s">
        <v>241</v>
      </c>
      <c r="D245" s="1"/>
      <c r="E245" s="30">
        <f t="shared" si="27"/>
        <v>357722.5</v>
      </c>
      <c r="G245" s="52"/>
      <c r="H245" s="51"/>
      <c r="I245" s="52"/>
      <c r="J245" s="51"/>
      <c r="K245" s="52">
        <v>357722.5</v>
      </c>
      <c r="L245" s="51"/>
      <c r="M245" s="52">
        <v>244521.72</v>
      </c>
      <c r="N245" s="51"/>
      <c r="O245" s="52">
        <v>113200.78</v>
      </c>
      <c r="P245" s="51"/>
      <c r="Q245" s="52"/>
      <c r="R245" s="49">
        <f t="shared" si="25"/>
        <v>0</v>
      </c>
      <c r="S245" s="77">
        <f t="shared" si="26"/>
        <v>0</v>
      </c>
    </row>
    <row r="246" spans="1:19" ht="12.75" customHeight="1" x14ac:dyDescent="0.25">
      <c r="A246" s="5"/>
      <c r="B246" s="33"/>
      <c r="C246" s="1" t="s">
        <v>247</v>
      </c>
      <c r="D246" s="1"/>
      <c r="E246" s="30">
        <f>SUM(G246:K246)</f>
        <v>0</v>
      </c>
      <c r="G246" s="52"/>
      <c r="H246" s="51"/>
      <c r="I246" s="52"/>
      <c r="J246" s="51"/>
      <c r="K246" s="52"/>
      <c r="L246" s="51"/>
      <c r="M246" s="52"/>
      <c r="N246" s="51"/>
      <c r="O246" s="52"/>
      <c r="P246" s="51"/>
      <c r="Q246" s="52"/>
      <c r="R246" s="49">
        <f t="shared" si="25"/>
        <v>0</v>
      </c>
      <c r="S246" s="77">
        <f t="shared" si="26"/>
        <v>0</v>
      </c>
    </row>
    <row r="247" spans="1:19" ht="12.75" customHeight="1" x14ac:dyDescent="0.25">
      <c r="A247" s="5"/>
      <c r="B247" s="33">
        <v>10</v>
      </c>
      <c r="C247" s="1" t="s">
        <v>110</v>
      </c>
      <c r="D247" s="1"/>
      <c r="E247" s="30">
        <f t="shared" si="27"/>
        <v>21948873.210000001</v>
      </c>
      <c r="G247" s="52">
        <v>2353311.4300000002</v>
      </c>
      <c r="H247" s="51"/>
      <c r="I247" s="52">
        <v>1841111.79</v>
      </c>
      <c r="J247" s="51"/>
      <c r="K247" s="52">
        <v>17754449.989999998</v>
      </c>
      <c r="L247" s="51"/>
      <c r="M247" s="52">
        <v>11243935.810000001</v>
      </c>
      <c r="N247" s="51"/>
      <c r="O247" s="52">
        <v>11007846.869999999</v>
      </c>
      <c r="P247" s="51"/>
      <c r="Q247" s="52">
        <v>302909.46999999997</v>
      </c>
      <c r="R247" s="49">
        <f t="shared" si="25"/>
        <v>-605818.93999999878</v>
      </c>
      <c r="S247" s="77">
        <f t="shared" si="26"/>
        <v>1.1641532182693481E-9</v>
      </c>
    </row>
    <row r="248" spans="1:19" ht="12.75" customHeight="1" x14ac:dyDescent="0.25">
      <c r="A248" s="5"/>
      <c r="B248" s="33"/>
      <c r="C248" s="1" t="s">
        <v>280</v>
      </c>
      <c r="D248" s="1"/>
      <c r="E248" s="30">
        <f>SUM(G248:K248)</f>
        <v>52560.59</v>
      </c>
      <c r="G248" s="52"/>
      <c r="H248" s="51"/>
      <c r="I248" s="52">
        <v>52560.59</v>
      </c>
      <c r="J248" s="51"/>
      <c r="K248" s="52"/>
      <c r="L248" s="51"/>
      <c r="M248" s="52"/>
      <c r="N248" s="51"/>
      <c r="O248" s="52">
        <v>52560.59</v>
      </c>
      <c r="P248" s="51"/>
      <c r="Q248" s="52"/>
      <c r="R248" s="49">
        <f>E248-M248-O248-Q248</f>
        <v>0</v>
      </c>
      <c r="S248" s="77">
        <f t="shared" si="26"/>
        <v>0</v>
      </c>
    </row>
    <row r="249" spans="1:19" ht="12.75" customHeight="1" x14ac:dyDescent="0.25">
      <c r="A249" s="5"/>
      <c r="B249" s="33"/>
      <c r="C249" s="1" t="s">
        <v>281</v>
      </c>
      <c r="D249" s="1"/>
      <c r="E249" s="30">
        <f>SUM(G249:K249)</f>
        <v>0</v>
      </c>
      <c r="G249" s="52"/>
      <c r="H249" s="51"/>
      <c r="I249" s="52"/>
      <c r="J249" s="51"/>
      <c r="K249" s="52"/>
      <c r="L249" s="51"/>
      <c r="M249" s="52"/>
      <c r="N249" s="51"/>
      <c r="O249" s="52"/>
      <c r="P249" s="51"/>
      <c r="Q249" s="52"/>
      <c r="R249" s="49">
        <f>E249-M249-O249-Q249</f>
        <v>0</v>
      </c>
      <c r="S249" s="77">
        <f t="shared" si="26"/>
        <v>0</v>
      </c>
    </row>
    <row r="250" spans="1:19" ht="12.75" customHeight="1" x14ac:dyDescent="0.25">
      <c r="A250" s="5"/>
      <c r="B250" s="33">
        <v>11</v>
      </c>
      <c r="C250" s="1" t="s">
        <v>108</v>
      </c>
      <c r="D250" s="1"/>
      <c r="E250" s="30">
        <f t="shared" si="27"/>
        <v>8505079.3000000007</v>
      </c>
      <c r="G250" s="52">
        <v>944169.1</v>
      </c>
      <c r="H250" s="51"/>
      <c r="I250" s="52">
        <v>354389.34</v>
      </c>
      <c r="J250" s="51"/>
      <c r="K250" s="52">
        <v>7206520.8600000003</v>
      </c>
      <c r="L250" s="51"/>
      <c r="M250" s="52">
        <v>4447320.16</v>
      </c>
      <c r="N250" s="51"/>
      <c r="O250" s="52">
        <v>4137396.14</v>
      </c>
      <c r="P250" s="51"/>
      <c r="Q250" s="52">
        <v>79637</v>
      </c>
      <c r="R250" s="49">
        <f t="shared" si="25"/>
        <v>-159273.99999999953</v>
      </c>
      <c r="S250" s="77">
        <f t="shared" si="26"/>
        <v>4.6566128730773926E-10</v>
      </c>
    </row>
    <row r="251" spans="1:19" ht="12.75" customHeight="1" x14ac:dyDescent="0.25">
      <c r="A251" s="5"/>
      <c r="B251" s="33"/>
      <c r="C251" s="1" t="s">
        <v>287</v>
      </c>
      <c r="D251" s="1"/>
      <c r="E251" s="30">
        <f>SUM(G251:K251)</f>
        <v>0</v>
      </c>
      <c r="G251" s="52"/>
      <c r="H251" s="51"/>
      <c r="I251" s="52"/>
      <c r="J251" s="51"/>
      <c r="K251" s="52"/>
      <c r="L251" s="51"/>
      <c r="M251" s="52"/>
      <c r="N251" s="51"/>
      <c r="O251" s="52"/>
      <c r="P251" s="51"/>
      <c r="Q251" s="52"/>
      <c r="R251" s="49">
        <f>E251-M251-O251-Q251</f>
        <v>0</v>
      </c>
      <c r="S251" s="77">
        <f t="shared" si="26"/>
        <v>0</v>
      </c>
    </row>
    <row r="252" spans="1:19" ht="12.75" customHeight="1" x14ac:dyDescent="0.25">
      <c r="A252" s="5"/>
      <c r="B252" s="33">
        <v>15</v>
      </c>
      <c r="C252" s="1" t="s">
        <v>111</v>
      </c>
      <c r="D252" s="1"/>
      <c r="E252" s="30">
        <f>SUM(G252:K252)</f>
        <v>4587788.0100000007</v>
      </c>
      <c r="G252" s="52">
        <v>2813024.77</v>
      </c>
      <c r="H252" s="51"/>
      <c r="I252" s="52">
        <v>1686462.59</v>
      </c>
      <c r="J252" s="51"/>
      <c r="K252" s="52">
        <v>88300.65</v>
      </c>
      <c r="L252" s="51"/>
      <c r="M252" s="52">
        <v>3030654.82</v>
      </c>
      <c r="N252" s="51"/>
      <c r="O252" s="52">
        <v>1555255.69</v>
      </c>
      <c r="P252" s="51"/>
      <c r="Q252" s="52">
        <v>-1877.5</v>
      </c>
      <c r="R252" s="49">
        <f t="shared" si="25"/>
        <v>3755.0000000009313</v>
      </c>
      <c r="S252" s="77">
        <f t="shared" si="26"/>
        <v>9.3132257461547852E-10</v>
      </c>
    </row>
    <row r="253" spans="1:19" ht="12.75" customHeight="1" x14ac:dyDescent="0.25">
      <c r="A253" s="5"/>
      <c r="B253" s="33">
        <v>16</v>
      </c>
      <c r="C253" s="1" t="s">
        <v>112</v>
      </c>
      <c r="D253" s="1"/>
      <c r="E253" s="30">
        <f>SUM(G253:K253)</f>
        <v>330463.52</v>
      </c>
      <c r="G253" s="52">
        <v>122788.64</v>
      </c>
      <c r="H253" s="51"/>
      <c r="I253" s="52">
        <v>207674.88</v>
      </c>
      <c r="J253" s="51"/>
      <c r="K253" s="52"/>
      <c r="L253" s="51"/>
      <c r="M253" s="52">
        <v>18000</v>
      </c>
      <c r="N253" s="51"/>
      <c r="O253" s="52">
        <v>312463.52</v>
      </c>
      <c r="P253" s="51"/>
      <c r="Q253" s="52"/>
      <c r="R253" s="49">
        <f t="shared" si="25"/>
        <v>0</v>
      </c>
      <c r="S253" s="77">
        <f t="shared" si="26"/>
        <v>0</v>
      </c>
    </row>
    <row r="254" spans="1:19" ht="12.75" customHeight="1" x14ac:dyDescent="0.25">
      <c r="A254" s="5"/>
      <c r="B254" s="33">
        <v>17</v>
      </c>
      <c r="C254" s="1" t="s">
        <v>100</v>
      </c>
      <c r="D254" s="5"/>
      <c r="E254" s="54">
        <f>G254+I254+K254</f>
        <v>195672.96000000002</v>
      </c>
      <c r="G254" s="53">
        <v>115939.99</v>
      </c>
      <c r="H254" s="51"/>
      <c r="I254" s="53">
        <v>-52724.56</v>
      </c>
      <c r="J254" s="51"/>
      <c r="K254" s="53">
        <v>132457.53</v>
      </c>
      <c r="L254" s="51"/>
      <c r="M254" s="53">
        <v>217289.77</v>
      </c>
      <c r="N254" s="51"/>
      <c r="O254" s="53">
        <v>-21616.81</v>
      </c>
      <c r="P254" s="51"/>
      <c r="Q254" s="53"/>
      <c r="R254" s="49">
        <f>E254-M254-O254-Q254</f>
        <v>3.2741809263825417E-11</v>
      </c>
      <c r="S254" s="77">
        <f t="shared" si="26"/>
        <v>3.2741809263825417E-11</v>
      </c>
    </row>
    <row r="255" spans="1:19" ht="12.75" customHeight="1" x14ac:dyDescent="0.25">
      <c r="A255" s="5"/>
      <c r="B255" s="33"/>
    </row>
    <row r="256" spans="1:19" ht="12.75" customHeight="1" x14ac:dyDescent="0.25">
      <c r="A256" s="5"/>
      <c r="B256" s="5"/>
      <c r="C256" s="5"/>
      <c r="D256" s="1" t="s">
        <v>2</v>
      </c>
      <c r="E256" s="6">
        <f>G256+I256+K256</f>
        <v>63822007.309999995</v>
      </c>
      <c r="G256" s="6">
        <f>SUM(G232:G254)</f>
        <v>12668370.73</v>
      </c>
      <c r="I256" s="6">
        <f>SUM(I232:I254)</f>
        <v>5957632.5899999999</v>
      </c>
      <c r="K256" s="6">
        <f>SUM(K232:K254)</f>
        <v>45196003.989999995</v>
      </c>
      <c r="M256" s="6">
        <f>SUM(M232:M254)</f>
        <v>33297516.160000004</v>
      </c>
      <c r="O256" s="6">
        <f>SUM(O232:O254)</f>
        <v>31342382.380000003</v>
      </c>
      <c r="Q256" s="6">
        <f>SUM(Q232:Q254)</f>
        <v>817891.23</v>
      </c>
      <c r="R256" s="49">
        <f>E256-M256-O256-Q256</f>
        <v>-1635782.4600000116</v>
      </c>
      <c r="S256" s="77">
        <f>E256-M256-O256+Q256</f>
        <v>-1.1641532182693481E-8</v>
      </c>
    </row>
    <row r="257" spans="1:19" ht="12.75" customHeight="1" x14ac:dyDescent="0.25">
      <c r="A257" s="5"/>
      <c r="B257" s="5"/>
      <c r="C257" s="5"/>
      <c r="D257" s="1"/>
      <c r="E257" s="34"/>
      <c r="G257" s="80"/>
      <c r="I257" s="34"/>
      <c r="K257" s="80"/>
      <c r="M257" s="34"/>
      <c r="O257" s="34"/>
      <c r="Q257" s="34"/>
      <c r="R257" s="49"/>
    </row>
    <row r="258" spans="1:19" ht="12.75" customHeight="1" x14ac:dyDescent="0.25">
      <c r="A258" s="5"/>
      <c r="B258" s="1" t="s">
        <v>113</v>
      </c>
    </row>
    <row r="259" spans="1:19" ht="12.75" customHeight="1" x14ac:dyDescent="0.25">
      <c r="A259" s="33"/>
      <c r="B259" s="5">
        <v>1</v>
      </c>
      <c r="C259" s="1" t="s">
        <v>114</v>
      </c>
      <c r="D259" s="1"/>
      <c r="E259" s="30">
        <f t="shared" ref="E259:E264" si="28">SUM(G259:K259)</f>
        <v>7898.02</v>
      </c>
      <c r="G259" s="52">
        <v>13.86</v>
      </c>
      <c r="H259" s="51"/>
      <c r="I259" s="52">
        <v>3541.13</v>
      </c>
      <c r="J259" s="51"/>
      <c r="K259" s="52">
        <v>4343.03</v>
      </c>
      <c r="L259" s="51"/>
      <c r="M259" s="52"/>
      <c r="N259" s="51"/>
      <c r="O259" s="52">
        <v>7898.02</v>
      </c>
      <c r="P259" s="51"/>
      <c r="Q259" s="52"/>
      <c r="R259" s="49">
        <f t="shared" ref="R259:R264" si="29">E259-M259-O259-Q259</f>
        <v>0</v>
      </c>
      <c r="S259" s="77">
        <f t="shared" ref="S259:S267" si="30">E259-M259-O259+Q259</f>
        <v>0</v>
      </c>
    </row>
    <row r="260" spans="1:19" ht="12.75" customHeight="1" x14ac:dyDescent="0.25">
      <c r="A260" s="33"/>
      <c r="B260" s="5">
        <v>2</v>
      </c>
      <c r="C260" s="1" t="s">
        <v>115</v>
      </c>
      <c r="D260" s="1"/>
      <c r="E260" s="30">
        <f t="shared" si="28"/>
        <v>5377214.0800000001</v>
      </c>
      <c r="G260" s="52">
        <v>145627.24</v>
      </c>
      <c r="H260" s="51"/>
      <c r="I260" s="52">
        <v>2995329.18</v>
      </c>
      <c r="J260" s="51"/>
      <c r="K260" s="52">
        <v>2236257.66</v>
      </c>
      <c r="L260" s="51"/>
      <c r="M260" s="52">
        <v>1267747.0900000001</v>
      </c>
      <c r="N260" s="51"/>
      <c r="O260" s="52">
        <v>4098498.99</v>
      </c>
      <c r="P260" s="51"/>
      <c r="Q260" s="52">
        <v>-10968</v>
      </c>
      <c r="R260" s="49">
        <f t="shared" si="29"/>
        <v>21936</v>
      </c>
      <c r="S260" s="77">
        <f t="shared" si="30"/>
        <v>0</v>
      </c>
    </row>
    <row r="261" spans="1:19" ht="12.75" customHeight="1" x14ac:dyDescent="0.25">
      <c r="A261" s="33"/>
      <c r="B261" s="5">
        <v>4</v>
      </c>
      <c r="C261" s="1" t="s">
        <v>116</v>
      </c>
      <c r="D261" s="1"/>
      <c r="E261" s="30">
        <f t="shared" si="28"/>
        <v>406576.4</v>
      </c>
      <c r="G261" s="52">
        <v>352585.26</v>
      </c>
      <c r="H261" s="51"/>
      <c r="I261" s="52">
        <v>53991.14</v>
      </c>
      <c r="J261" s="51"/>
      <c r="K261" s="52"/>
      <c r="L261" s="51"/>
      <c r="M261" s="52">
        <v>236799.23</v>
      </c>
      <c r="N261" s="51"/>
      <c r="O261" s="52">
        <v>169937.17</v>
      </c>
      <c r="P261" s="51"/>
      <c r="Q261" s="52">
        <v>160</v>
      </c>
      <c r="R261" s="49">
        <f t="shared" si="29"/>
        <v>-320</v>
      </c>
      <c r="S261" s="77">
        <f t="shared" si="30"/>
        <v>0</v>
      </c>
    </row>
    <row r="262" spans="1:19" ht="12.75" customHeight="1" x14ac:dyDescent="0.25">
      <c r="A262" s="33"/>
      <c r="B262" s="5">
        <v>5</v>
      </c>
      <c r="C262" s="1" t="s">
        <v>117</v>
      </c>
      <c r="D262" s="1"/>
      <c r="E262" s="30">
        <f t="shared" si="28"/>
        <v>757294.63</v>
      </c>
      <c r="G262" s="52">
        <v>44069.4</v>
      </c>
      <c r="H262" s="51"/>
      <c r="I262" s="52">
        <v>205705.76</v>
      </c>
      <c r="J262" s="51"/>
      <c r="K262" s="52">
        <v>507519.47</v>
      </c>
      <c r="L262" s="51"/>
      <c r="M262" s="52">
        <v>379612.29</v>
      </c>
      <c r="N262" s="51"/>
      <c r="O262" s="52">
        <v>372872.34</v>
      </c>
      <c r="P262" s="51"/>
      <c r="Q262" s="52">
        <v>-4810</v>
      </c>
      <c r="R262" s="49">
        <f t="shared" si="29"/>
        <v>9620</v>
      </c>
      <c r="S262" s="77">
        <f t="shared" si="30"/>
        <v>0</v>
      </c>
    </row>
    <row r="263" spans="1:19" ht="12.75" customHeight="1" x14ac:dyDescent="0.25">
      <c r="A263" s="33"/>
      <c r="B263" s="5">
        <v>3</v>
      </c>
      <c r="C263" s="1" t="s">
        <v>275</v>
      </c>
      <c r="D263" s="1"/>
      <c r="E263" s="30">
        <f t="shared" si="28"/>
        <v>359774.29000000004</v>
      </c>
      <c r="G263" s="52">
        <v>209902.91</v>
      </c>
      <c r="H263" s="51"/>
      <c r="I263" s="52">
        <v>149871.38</v>
      </c>
      <c r="J263" s="51"/>
      <c r="K263" s="52"/>
      <c r="L263" s="51"/>
      <c r="M263" s="52">
        <v>185541.25</v>
      </c>
      <c r="N263" s="51"/>
      <c r="O263" s="52">
        <v>173775.04</v>
      </c>
      <c r="P263" s="51"/>
      <c r="Q263" s="52">
        <v>-458</v>
      </c>
      <c r="R263" s="49">
        <f t="shared" si="29"/>
        <v>916.0000000000291</v>
      </c>
      <c r="S263" s="77">
        <f t="shared" si="30"/>
        <v>2.9103830456733704E-11</v>
      </c>
    </row>
    <row r="264" spans="1:19" ht="12.75" customHeight="1" x14ac:dyDescent="0.25">
      <c r="A264" s="33"/>
      <c r="B264" s="5">
        <v>3</v>
      </c>
      <c r="C264" s="1" t="s">
        <v>274</v>
      </c>
      <c r="D264" s="1"/>
      <c r="E264" s="30">
        <f t="shared" si="28"/>
        <v>1893994.12</v>
      </c>
      <c r="G264" s="52">
        <v>1669213.38</v>
      </c>
      <c r="H264" s="51"/>
      <c r="I264" s="52">
        <v>149603.39000000001</v>
      </c>
      <c r="J264" s="51"/>
      <c r="K264" s="52">
        <v>75177.350000000006</v>
      </c>
      <c r="L264" s="51"/>
      <c r="M264" s="52">
        <v>992656.49</v>
      </c>
      <c r="N264" s="51"/>
      <c r="O264" s="52">
        <v>899401.73</v>
      </c>
      <c r="P264" s="51"/>
      <c r="Q264" s="52">
        <v>-1935.9</v>
      </c>
      <c r="R264" s="49">
        <f t="shared" si="29"/>
        <v>3871.8000000001398</v>
      </c>
      <c r="S264" s="77">
        <f t="shared" si="30"/>
        <v>1.3960743672214448E-10</v>
      </c>
    </row>
    <row r="265" spans="1:19" ht="12.75" customHeight="1" x14ac:dyDescent="0.25">
      <c r="A265" s="33"/>
      <c r="B265" s="5">
        <v>8</v>
      </c>
      <c r="C265" s="1" t="s">
        <v>118</v>
      </c>
      <c r="D265" s="1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S265" s="77">
        <f t="shared" si="30"/>
        <v>0</v>
      </c>
    </row>
    <row r="266" spans="1:19" ht="12.75" customHeight="1" x14ac:dyDescent="0.25">
      <c r="A266" s="33"/>
      <c r="B266" s="5">
        <v>9</v>
      </c>
      <c r="C266" s="5"/>
      <c r="D266" s="1" t="s">
        <v>119</v>
      </c>
      <c r="E266" s="30">
        <f>SUM(G266:K266)</f>
        <v>355946.61</v>
      </c>
      <c r="G266" s="52">
        <v>40252.699999999997</v>
      </c>
      <c r="H266" s="51"/>
      <c r="I266" s="52">
        <v>172293.77</v>
      </c>
      <c r="J266" s="51"/>
      <c r="K266" s="52">
        <v>143400.14000000001</v>
      </c>
      <c r="L266" s="51"/>
      <c r="M266" s="52">
        <v>341984.18</v>
      </c>
      <c r="N266" s="51"/>
      <c r="O266" s="52">
        <v>13962.43</v>
      </c>
      <c r="P266" s="51"/>
      <c r="Q266" s="52"/>
      <c r="R266" s="49">
        <f>E266-M266-O266-Q266</f>
        <v>-7.2759576141834259E-12</v>
      </c>
      <c r="S266" s="77">
        <f t="shared" si="30"/>
        <v>-7.2759576141834259E-12</v>
      </c>
    </row>
    <row r="267" spans="1:19" ht="12.75" customHeight="1" x14ac:dyDescent="0.25">
      <c r="A267" s="33"/>
      <c r="B267" s="5">
        <v>10</v>
      </c>
      <c r="C267" s="1" t="s">
        <v>100</v>
      </c>
      <c r="D267" s="1"/>
      <c r="E267" s="54">
        <f>G267+I267+K267</f>
        <v>15936.02</v>
      </c>
      <c r="G267" s="53">
        <v>16949.11</v>
      </c>
      <c r="H267" s="51"/>
      <c r="I267" s="53">
        <v>-11411.75</v>
      </c>
      <c r="J267" s="51"/>
      <c r="K267" s="53">
        <v>10398.66</v>
      </c>
      <c r="L267" s="51"/>
      <c r="M267" s="53">
        <v>16526.900000000001</v>
      </c>
      <c r="N267" s="51"/>
      <c r="O267" s="53">
        <v>-590.88</v>
      </c>
      <c r="P267" s="51"/>
      <c r="Q267" s="53"/>
      <c r="R267" s="49">
        <f>E267-M267-O267-Q267</f>
        <v>-1.0231815394945443E-12</v>
      </c>
      <c r="S267" s="77">
        <f t="shared" si="30"/>
        <v>-1.0231815394945443E-12</v>
      </c>
    </row>
    <row r="268" spans="1:19" ht="12.75" customHeight="1" x14ac:dyDescent="0.25">
      <c r="A268" s="33"/>
    </row>
    <row r="269" spans="1:19" ht="12.75" customHeight="1" x14ac:dyDescent="0.25">
      <c r="A269" s="5"/>
      <c r="B269" s="5"/>
      <c r="C269" s="5"/>
      <c r="D269" s="1" t="s">
        <v>2</v>
      </c>
      <c r="E269" s="6">
        <f>G269+I269+K269</f>
        <v>9174634.1699999999</v>
      </c>
      <c r="G269" s="6">
        <f>SUM(G259:G267)</f>
        <v>2478613.86</v>
      </c>
      <c r="I269" s="6">
        <f>SUM(I259:I267)</f>
        <v>3718924</v>
      </c>
      <c r="K269" s="6">
        <f>SUM(K259:K267)</f>
        <v>2977096.3100000005</v>
      </c>
      <c r="M269" s="6">
        <f>SUM(M259:M267)</f>
        <v>3420867.43</v>
      </c>
      <c r="O269" s="6">
        <f>SUM(O259:O267)</f>
        <v>5735754.8400000008</v>
      </c>
      <c r="Q269" s="6">
        <f>SUM(Q259:Q267)</f>
        <v>-18011.900000000001</v>
      </c>
      <c r="R269" s="49">
        <f>E269-M269-O269-Q269</f>
        <v>36023.799999999443</v>
      </c>
      <c r="S269" s="77">
        <f>E269-M269-O269+Q269</f>
        <v>-5.6024873629212379E-10</v>
      </c>
    </row>
    <row r="270" spans="1:19" ht="12.75" customHeight="1" x14ac:dyDescent="0.25">
      <c r="A270" s="5"/>
      <c r="B270" s="5"/>
      <c r="C270" s="5"/>
      <c r="D270" s="1"/>
      <c r="E270" s="34"/>
      <c r="G270" s="80"/>
      <c r="I270" s="34"/>
      <c r="K270" s="34"/>
      <c r="M270" s="34"/>
      <c r="O270" s="34"/>
      <c r="Q270" s="34"/>
      <c r="R270" s="49"/>
    </row>
    <row r="271" spans="1:19" ht="12.75" customHeight="1" x14ac:dyDescent="0.25">
      <c r="A271" s="5"/>
      <c r="B271" s="1" t="s">
        <v>15</v>
      </c>
    </row>
    <row r="272" spans="1:19" ht="12.75" customHeight="1" x14ac:dyDescent="0.25">
      <c r="A272" s="5"/>
      <c r="B272" s="5">
        <v>1</v>
      </c>
      <c r="C272" s="1" t="s">
        <v>120</v>
      </c>
      <c r="D272" s="1"/>
      <c r="E272" s="30">
        <f t="shared" ref="E272:E284" si="31">SUM(G272:K272)</f>
        <v>544488.13</v>
      </c>
      <c r="G272" s="52">
        <v>405006.07</v>
      </c>
      <c r="H272" s="51"/>
      <c r="I272" s="52">
        <v>136737.06</v>
      </c>
      <c r="J272" s="51"/>
      <c r="K272" s="52">
        <v>2745</v>
      </c>
      <c r="L272" s="51"/>
      <c r="M272" s="52">
        <v>197475.79</v>
      </c>
      <c r="N272" s="51"/>
      <c r="O272" s="52">
        <v>346592.34</v>
      </c>
      <c r="P272" s="51"/>
      <c r="Q272" s="52">
        <v>-420</v>
      </c>
      <c r="R272" s="49">
        <f t="shared" ref="R272:R286" si="32">E272-M272-O272-Q272</f>
        <v>839.99999999994179</v>
      </c>
      <c r="S272" s="77">
        <f t="shared" ref="S272:S287" si="33">E272-M272-O272+Q272</f>
        <v>-5.8207660913467407E-11</v>
      </c>
    </row>
    <row r="273" spans="1:19" ht="12.75" customHeight="1" x14ac:dyDescent="0.25">
      <c r="A273" s="5"/>
      <c r="B273" s="5">
        <v>1</v>
      </c>
      <c r="C273" s="55" t="s">
        <v>296</v>
      </c>
      <c r="D273" s="1"/>
      <c r="E273" s="30">
        <f t="shared" ref="E273" si="34">SUM(G273:K273)</f>
        <v>81549.62</v>
      </c>
      <c r="G273" s="52">
        <v>74695.929999999993</v>
      </c>
      <c r="H273" s="51"/>
      <c r="I273" s="52">
        <v>6853.69</v>
      </c>
      <c r="J273" s="51"/>
      <c r="K273" s="52"/>
      <c r="L273" s="51"/>
      <c r="M273" s="52">
        <v>32083.35</v>
      </c>
      <c r="N273" s="51"/>
      <c r="O273" s="52">
        <v>49466.27</v>
      </c>
      <c r="P273" s="51"/>
      <c r="Q273" s="52"/>
      <c r="R273" s="49">
        <f t="shared" ref="R273" si="35">E273-M273-O273-Q273</f>
        <v>0</v>
      </c>
      <c r="S273" s="77">
        <f t="shared" ref="S273" si="36">E273-M273-O273+Q273</f>
        <v>0</v>
      </c>
    </row>
    <row r="274" spans="1:19" ht="12.75" customHeight="1" x14ac:dyDescent="0.25">
      <c r="A274" s="5"/>
      <c r="B274" s="5">
        <v>2</v>
      </c>
      <c r="C274" s="1" t="s">
        <v>121</v>
      </c>
      <c r="D274" s="1"/>
      <c r="E274" s="30">
        <f t="shared" si="31"/>
        <v>627449.75</v>
      </c>
      <c r="G274" s="52">
        <v>608547.87</v>
      </c>
      <c r="H274" s="51"/>
      <c r="I274" s="52">
        <v>17988.43</v>
      </c>
      <c r="J274" s="51"/>
      <c r="K274" s="52">
        <v>913.45</v>
      </c>
      <c r="L274" s="51"/>
      <c r="M274" s="52">
        <v>330790.40999999997</v>
      </c>
      <c r="N274" s="51"/>
      <c r="O274" s="52">
        <v>296509.34000000003</v>
      </c>
      <c r="P274" s="51"/>
      <c r="Q274" s="52">
        <v>-150</v>
      </c>
      <c r="R274" s="49">
        <f t="shared" si="32"/>
        <v>300</v>
      </c>
      <c r="S274" s="77">
        <f t="shared" si="33"/>
        <v>0</v>
      </c>
    </row>
    <row r="275" spans="1:19" ht="12.75" customHeight="1" x14ac:dyDescent="0.25">
      <c r="A275" s="5"/>
      <c r="B275" s="5">
        <v>3</v>
      </c>
      <c r="C275" s="1" t="s">
        <v>122</v>
      </c>
      <c r="D275" s="1"/>
      <c r="E275" s="30">
        <f t="shared" si="31"/>
        <v>0</v>
      </c>
      <c r="G275" s="52"/>
      <c r="H275" s="51"/>
      <c r="I275" s="52"/>
      <c r="J275" s="51"/>
      <c r="K275" s="52"/>
      <c r="L275" s="51"/>
      <c r="M275" s="52"/>
      <c r="N275" s="51"/>
      <c r="O275" s="52"/>
      <c r="P275" s="51"/>
      <c r="Q275" s="52"/>
      <c r="R275" s="49">
        <f t="shared" si="32"/>
        <v>0</v>
      </c>
      <c r="S275" s="77">
        <f t="shared" si="33"/>
        <v>0</v>
      </c>
    </row>
    <row r="276" spans="1:19" ht="12.75" customHeight="1" x14ac:dyDescent="0.25">
      <c r="A276" s="5"/>
      <c r="B276" s="5">
        <v>4</v>
      </c>
      <c r="C276" s="1" t="s">
        <v>123</v>
      </c>
      <c r="D276" s="1"/>
      <c r="E276" s="30">
        <f t="shared" si="31"/>
        <v>671729.10000000009</v>
      </c>
      <c r="G276" s="52">
        <v>635008.27</v>
      </c>
      <c r="H276" s="51"/>
      <c r="I276" s="52">
        <v>36376.03</v>
      </c>
      <c r="J276" s="51"/>
      <c r="K276" s="52">
        <v>344.8</v>
      </c>
      <c r="L276" s="51"/>
      <c r="M276" s="52">
        <v>414572.43</v>
      </c>
      <c r="N276" s="51"/>
      <c r="O276" s="52">
        <v>257076.67</v>
      </c>
      <c r="P276" s="51"/>
      <c r="Q276" s="52">
        <v>-80</v>
      </c>
      <c r="R276" s="49">
        <f t="shared" si="32"/>
        <v>160.00000000008731</v>
      </c>
      <c r="S276" s="77">
        <f t="shared" si="33"/>
        <v>8.7311491370201111E-11</v>
      </c>
    </row>
    <row r="277" spans="1:19" ht="12.75" customHeight="1" x14ac:dyDescent="0.25">
      <c r="A277" s="5"/>
      <c r="B277" s="5">
        <v>6</v>
      </c>
      <c r="C277" s="1" t="s">
        <v>277</v>
      </c>
      <c r="D277" s="1"/>
      <c r="E277" s="30">
        <f>SUM(G277:K277)</f>
        <v>7338.94</v>
      </c>
      <c r="G277" s="52">
        <v>7338.94</v>
      </c>
      <c r="H277" s="51"/>
      <c r="I277" s="52"/>
      <c r="J277" s="51"/>
      <c r="K277" s="52"/>
      <c r="L277" s="51"/>
      <c r="M277" s="52"/>
      <c r="N277" s="51"/>
      <c r="O277" s="52">
        <v>7338.94</v>
      </c>
      <c r="P277" s="51"/>
      <c r="Q277" s="52"/>
      <c r="R277" s="49">
        <f>E277-M277-O277-Q277</f>
        <v>0</v>
      </c>
      <c r="S277" s="77">
        <f t="shared" si="33"/>
        <v>0</v>
      </c>
    </row>
    <row r="278" spans="1:19" ht="12.75" customHeight="1" x14ac:dyDescent="0.25">
      <c r="A278" s="5"/>
      <c r="B278" s="5">
        <v>6</v>
      </c>
      <c r="C278" s="1" t="s">
        <v>124</v>
      </c>
      <c r="D278" s="1"/>
      <c r="E278" s="30">
        <f t="shared" si="31"/>
        <v>7178.67</v>
      </c>
      <c r="G278" s="52"/>
      <c r="H278" s="51"/>
      <c r="I278" s="52">
        <v>7178.67</v>
      </c>
      <c r="J278" s="51"/>
      <c r="K278" s="52"/>
      <c r="L278" s="51"/>
      <c r="M278" s="52">
        <v>23372.400000000001</v>
      </c>
      <c r="N278" s="51"/>
      <c r="O278" s="52">
        <v>55413.69</v>
      </c>
      <c r="P278" s="51"/>
      <c r="Q278" s="52">
        <v>71607.42</v>
      </c>
      <c r="R278" s="49">
        <f t="shared" si="32"/>
        <v>-143214.84</v>
      </c>
      <c r="S278" s="77">
        <f t="shared" si="33"/>
        <v>0</v>
      </c>
    </row>
    <row r="279" spans="1:19" ht="12.75" customHeight="1" x14ac:dyDescent="0.25">
      <c r="A279" s="5"/>
      <c r="B279" s="5">
        <v>6</v>
      </c>
      <c r="C279" s="1" t="s">
        <v>276</v>
      </c>
      <c r="D279" s="1"/>
      <c r="E279" s="30">
        <f>SUM(G279:K279)</f>
        <v>565725.58000000007</v>
      </c>
      <c r="G279" s="52">
        <v>24166.83</v>
      </c>
      <c r="H279" s="51"/>
      <c r="I279" s="52">
        <v>20815.23</v>
      </c>
      <c r="J279" s="51"/>
      <c r="K279" s="52">
        <v>520743.52</v>
      </c>
      <c r="L279" s="51"/>
      <c r="M279" s="52">
        <v>302346.62</v>
      </c>
      <c r="N279" s="51"/>
      <c r="O279" s="52">
        <v>261233.71</v>
      </c>
      <c r="P279" s="51">
        <v>-2145.25</v>
      </c>
      <c r="Q279" s="52">
        <v>-2145.25</v>
      </c>
      <c r="R279" s="49">
        <f>E279-M279-O279-Q279</f>
        <v>4290.5000000000873</v>
      </c>
      <c r="S279" s="77">
        <f t="shared" si="33"/>
        <v>8.7311491370201111E-11</v>
      </c>
    </row>
    <row r="280" spans="1:19" ht="12.75" customHeight="1" x14ac:dyDescent="0.25">
      <c r="A280" s="5"/>
      <c r="B280" s="5"/>
      <c r="C280" s="1" t="s">
        <v>237</v>
      </c>
      <c r="D280" s="1"/>
      <c r="E280" s="30">
        <f t="shared" si="31"/>
        <v>31390.19</v>
      </c>
      <c r="G280" s="52"/>
      <c r="H280" s="51"/>
      <c r="I280" s="52">
        <v>31390.19</v>
      </c>
      <c r="J280" s="51"/>
      <c r="K280" s="52"/>
      <c r="L280" s="51"/>
      <c r="M280" s="52"/>
      <c r="N280" s="51"/>
      <c r="O280" s="52">
        <v>61781.32</v>
      </c>
      <c r="P280" s="51"/>
      <c r="Q280" s="52">
        <v>30391.13</v>
      </c>
      <c r="R280" s="49">
        <f t="shared" si="32"/>
        <v>-60782.26</v>
      </c>
      <c r="S280" s="77">
        <f t="shared" si="33"/>
        <v>0</v>
      </c>
    </row>
    <row r="281" spans="1:19" ht="12.75" customHeight="1" x14ac:dyDescent="0.25">
      <c r="A281" s="5"/>
      <c r="B281" s="5">
        <v>7</v>
      </c>
      <c r="C281" s="1" t="s">
        <v>125</v>
      </c>
      <c r="D281" s="1"/>
      <c r="E281" s="30">
        <f t="shared" si="31"/>
        <v>659472.51</v>
      </c>
      <c r="G281" s="52">
        <v>602024.74</v>
      </c>
      <c r="H281" s="51"/>
      <c r="I281" s="52">
        <v>57447.77</v>
      </c>
      <c r="J281" s="51"/>
      <c r="K281" s="52"/>
      <c r="L281" s="51"/>
      <c r="M281" s="52">
        <v>398980.74</v>
      </c>
      <c r="N281" s="51"/>
      <c r="O281" s="52">
        <v>260491.77</v>
      </c>
      <c r="P281" s="51"/>
      <c r="Q281" s="52"/>
      <c r="R281" s="49">
        <f t="shared" si="32"/>
        <v>2.9103830456733704E-11</v>
      </c>
      <c r="S281" s="77">
        <f t="shared" si="33"/>
        <v>2.9103830456733704E-11</v>
      </c>
    </row>
    <row r="282" spans="1:19" ht="12.75" customHeight="1" x14ac:dyDescent="0.25">
      <c r="A282" s="5"/>
      <c r="B282" s="5">
        <v>8</v>
      </c>
      <c r="C282" s="1" t="s">
        <v>126</v>
      </c>
      <c r="D282" s="1"/>
      <c r="E282" s="30">
        <f t="shared" si="31"/>
        <v>1855421.15</v>
      </c>
      <c r="G282" s="52">
        <v>1420582.41</v>
      </c>
      <c r="H282" s="51"/>
      <c r="I282" s="52">
        <v>409109.28</v>
      </c>
      <c r="J282" s="51"/>
      <c r="K282" s="52">
        <v>25729.46</v>
      </c>
      <c r="L282" s="51"/>
      <c r="M282" s="52">
        <v>1440660.86</v>
      </c>
      <c r="N282" s="51"/>
      <c r="O282" s="52">
        <v>1136756.73</v>
      </c>
      <c r="P282" s="51"/>
      <c r="Q282" s="52">
        <v>721996.44</v>
      </c>
      <c r="R282" s="49">
        <f t="shared" si="32"/>
        <v>-1443992.8800000001</v>
      </c>
      <c r="S282" s="77">
        <f t="shared" si="33"/>
        <v>0</v>
      </c>
    </row>
    <row r="283" spans="1:19" ht="12.75" customHeight="1" x14ac:dyDescent="0.25">
      <c r="A283" s="5"/>
      <c r="B283" s="5">
        <v>9</v>
      </c>
      <c r="C283" s="1" t="s">
        <v>127</v>
      </c>
      <c r="D283" s="1"/>
      <c r="E283" s="30">
        <f t="shared" si="31"/>
        <v>21816821.660000004</v>
      </c>
      <c r="G283" s="52">
        <v>21200682.73</v>
      </c>
      <c r="H283" s="51"/>
      <c r="I283" s="52">
        <v>153625.42000000001</v>
      </c>
      <c r="J283" s="51"/>
      <c r="K283" s="52">
        <v>462513.51</v>
      </c>
      <c r="L283" s="51"/>
      <c r="M283" s="52">
        <v>8924020.3499999996</v>
      </c>
      <c r="N283" s="51"/>
      <c r="O283" s="52">
        <v>12892099.810000001</v>
      </c>
      <c r="P283" s="51"/>
      <c r="Q283" s="52">
        <v>-701.5</v>
      </c>
      <c r="R283" s="49">
        <f t="shared" si="32"/>
        <v>1403.0000000037253</v>
      </c>
      <c r="S283" s="77">
        <f t="shared" si="33"/>
        <v>3.7252902984619141E-9</v>
      </c>
    </row>
    <row r="284" spans="1:19" ht="12.75" customHeight="1" x14ac:dyDescent="0.25">
      <c r="A284" s="5"/>
      <c r="B284" s="5">
        <v>10</v>
      </c>
      <c r="C284" s="1" t="s">
        <v>128</v>
      </c>
      <c r="D284" s="1"/>
      <c r="E284" s="30">
        <f t="shared" si="31"/>
        <v>0</v>
      </c>
      <c r="G284" s="52"/>
      <c r="H284" s="51"/>
      <c r="I284" s="52"/>
      <c r="J284" s="51"/>
      <c r="K284" s="52"/>
      <c r="L284" s="51"/>
      <c r="M284" s="52"/>
      <c r="N284" s="51"/>
      <c r="O284" s="52"/>
      <c r="P284" s="51"/>
      <c r="Q284" s="52"/>
      <c r="R284" s="49">
        <f t="shared" si="32"/>
        <v>0</v>
      </c>
      <c r="S284" s="77">
        <f t="shared" si="33"/>
        <v>0</v>
      </c>
    </row>
    <row r="285" spans="1:19" ht="12.75" customHeight="1" x14ac:dyDescent="0.25">
      <c r="A285" s="5"/>
      <c r="B285" s="5">
        <v>11</v>
      </c>
      <c r="C285" s="5"/>
      <c r="D285" s="5" t="s">
        <v>129</v>
      </c>
      <c r="E285" s="30">
        <f>SUM(G285:K285)</f>
        <v>255336.80000000002</v>
      </c>
      <c r="G285" s="52">
        <v>232759.67</v>
      </c>
      <c r="H285" s="51"/>
      <c r="I285" s="52">
        <v>4931.32</v>
      </c>
      <c r="J285" s="51"/>
      <c r="K285" s="52">
        <v>17645.810000000001</v>
      </c>
      <c r="L285" s="51"/>
      <c r="M285" s="52">
        <v>170255.44</v>
      </c>
      <c r="N285" s="51"/>
      <c r="O285" s="52">
        <v>85057.36</v>
      </c>
      <c r="P285" s="51"/>
      <c r="Q285" s="52">
        <v>-24</v>
      </c>
      <c r="R285" s="49">
        <f t="shared" si="32"/>
        <v>48.000000000014552</v>
      </c>
      <c r="S285" s="77">
        <f t="shared" si="33"/>
        <v>1.4551915228366852E-11</v>
      </c>
    </row>
    <row r="286" spans="1:19" ht="12.75" customHeight="1" x14ac:dyDescent="0.25">
      <c r="A286" s="5"/>
      <c r="B286" s="5">
        <v>12</v>
      </c>
      <c r="C286" s="5" t="s">
        <v>100</v>
      </c>
      <c r="D286" s="5"/>
      <c r="E286" s="30">
        <f>SUM(G286:K286)</f>
        <v>-72460.510000000009</v>
      </c>
      <c r="G286" s="52">
        <v>-55046.9</v>
      </c>
      <c r="H286" s="51"/>
      <c r="I286" s="52">
        <v>-1731.44</v>
      </c>
      <c r="J286" s="51"/>
      <c r="K286" s="52">
        <v>-15682.17</v>
      </c>
      <c r="L286" s="51"/>
      <c r="M286" s="52">
        <v>-60785.22</v>
      </c>
      <c r="N286" s="51"/>
      <c r="O286" s="52">
        <v>-11675.29</v>
      </c>
      <c r="P286" s="51"/>
      <c r="Q286" s="52"/>
      <c r="R286" s="49">
        <f t="shared" si="32"/>
        <v>-7.2759576141834259E-12</v>
      </c>
      <c r="S286" s="77">
        <f t="shared" si="33"/>
        <v>-7.2759576141834259E-12</v>
      </c>
    </row>
    <row r="287" spans="1:19" ht="12.75" customHeight="1" x14ac:dyDescent="0.25">
      <c r="A287" s="5"/>
      <c r="B287" s="5">
        <v>13</v>
      </c>
      <c r="C287" s="5" t="s">
        <v>101</v>
      </c>
      <c r="D287" s="5"/>
      <c r="E287" s="54">
        <f>G287+I287+K287</f>
        <v>0</v>
      </c>
      <c r="G287" s="53">
        <v>-18150710.780000001</v>
      </c>
      <c r="H287" s="51"/>
      <c r="I287" s="53">
        <v>18150710.780000001</v>
      </c>
      <c r="J287" s="51"/>
      <c r="K287" s="53"/>
      <c r="L287" s="51"/>
      <c r="M287" s="53"/>
      <c r="N287" s="51"/>
      <c r="O287" s="53"/>
      <c r="P287" s="51"/>
      <c r="Q287" s="53"/>
      <c r="R287" s="49">
        <f>E287-M287-O287-Q287</f>
        <v>0</v>
      </c>
      <c r="S287" s="77">
        <f t="shared" si="33"/>
        <v>0</v>
      </c>
    </row>
    <row r="288" spans="1:19" ht="12.75" customHeight="1" x14ac:dyDescent="0.25">
      <c r="A288" s="5"/>
      <c r="B288" s="33"/>
    </row>
    <row r="289" spans="1:19" ht="12.75" customHeight="1" x14ac:dyDescent="0.25">
      <c r="A289" s="5"/>
      <c r="B289" s="5"/>
      <c r="C289" s="5"/>
      <c r="D289" s="1" t="s">
        <v>2</v>
      </c>
      <c r="E289" s="6">
        <f>G289+I289+K289</f>
        <v>27051441.59</v>
      </c>
      <c r="G289" s="6">
        <f>SUM(G272:G287)</f>
        <v>7005055.7800000012</v>
      </c>
      <c r="I289" s="6">
        <f>SUM(I272:I287)</f>
        <v>19031432.43</v>
      </c>
      <c r="K289" s="6">
        <f>SUM(K272:K287)</f>
        <v>1014953.38</v>
      </c>
      <c r="M289" s="6">
        <f>SUM(M272:M287)</f>
        <v>12173773.169999998</v>
      </c>
      <c r="O289" s="6">
        <f>SUM(O272:O287)</f>
        <v>15698142.66</v>
      </c>
      <c r="Q289" s="6">
        <f>SUM(Q272:Q287)</f>
        <v>820474.24</v>
      </c>
      <c r="R289" s="49">
        <f>E289-M289-O289-Q289</f>
        <v>-1640948.4799999984</v>
      </c>
      <c r="S289" s="77">
        <f>E289-M289-O289+Q289</f>
        <v>1.6298145055770874E-9</v>
      </c>
    </row>
    <row r="290" spans="1:19" ht="12.75" customHeight="1" x14ac:dyDescent="0.25">
      <c r="A290" s="5"/>
      <c r="B290" s="5"/>
      <c r="C290" s="33"/>
      <c r="D290" s="33"/>
    </row>
    <row r="291" spans="1:19" ht="12.75" customHeight="1" x14ac:dyDescent="0.25">
      <c r="A291" s="5"/>
      <c r="B291" s="5"/>
      <c r="C291" s="5"/>
      <c r="D291" s="1" t="s">
        <v>230</v>
      </c>
      <c r="E291" s="6">
        <f>E229+E256+E269+E289</f>
        <v>102324713.81999999</v>
      </c>
      <c r="G291" s="6">
        <f>G229+G256+G269+G289</f>
        <v>23967149.960000001</v>
      </c>
      <c r="I291" s="6">
        <f>I229+I256+I269+I289</f>
        <v>28557187.850000001</v>
      </c>
      <c r="K291" s="6">
        <f>K229+K256+K269+K289</f>
        <v>49800376.009999998</v>
      </c>
      <c r="M291" s="6">
        <f>M229+M256+M269+M289</f>
        <v>50439799.409999996</v>
      </c>
      <c r="O291" s="6">
        <f>O229+O256+O269+O289</f>
        <v>53560150.300000012</v>
      </c>
      <c r="Q291" s="6">
        <f>Q229+Q256+Q269+Q289</f>
        <v>1675235.89</v>
      </c>
      <c r="R291" s="49">
        <f>E291-M291-O291-Q291</f>
        <v>-3350471.7800000152</v>
      </c>
      <c r="S291" s="77">
        <f>E291-M291-O291+Q291</f>
        <v>-1.5599653124809265E-8</v>
      </c>
    </row>
    <row r="292" spans="1:19" ht="12.75" customHeight="1" x14ac:dyDescent="0.25">
      <c r="A292" s="38"/>
    </row>
    <row r="293" spans="1:19" ht="12.75" customHeight="1" x14ac:dyDescent="0.25">
      <c r="A293" s="31" t="s">
        <v>87</v>
      </c>
    </row>
    <row r="294" spans="1:19" ht="12.75" customHeight="1" x14ac:dyDescent="0.25">
      <c r="A294" s="33"/>
    </row>
    <row r="295" spans="1:19" ht="12.75" customHeight="1" x14ac:dyDescent="0.25">
      <c r="A295" s="5"/>
      <c r="B295" s="1" t="s">
        <v>11</v>
      </c>
    </row>
    <row r="296" spans="1:19" ht="12.75" customHeight="1" x14ac:dyDescent="0.25">
      <c r="A296" s="5"/>
      <c r="B296" s="5"/>
      <c r="C296" s="1" t="s">
        <v>88</v>
      </c>
      <c r="D296" s="1"/>
    </row>
    <row r="297" spans="1:19" ht="12.75" customHeight="1" x14ac:dyDescent="0.25">
      <c r="A297" s="5"/>
      <c r="B297" s="5"/>
      <c r="C297" s="5"/>
      <c r="D297" s="1" t="s">
        <v>89</v>
      </c>
      <c r="E297" s="30">
        <f>SUM(G297:K297)</f>
        <v>1352492.57</v>
      </c>
      <c r="G297" s="52"/>
      <c r="H297" s="51"/>
      <c r="I297" s="52">
        <v>1352492.57</v>
      </c>
      <c r="J297" s="51"/>
      <c r="K297" s="52"/>
      <c r="L297" s="51"/>
      <c r="M297" s="52">
        <v>674913.42</v>
      </c>
      <c r="N297" s="51"/>
      <c r="O297" s="52">
        <v>677465.15</v>
      </c>
      <c r="P297" s="51"/>
      <c r="Q297" s="52">
        <v>-114</v>
      </c>
      <c r="R297" s="49">
        <f>E297-M297-O297-Q297</f>
        <v>228</v>
      </c>
      <c r="S297" s="77">
        <f t="shared" ref="S297:S299" si="37">E297-M297-O297+Q297</f>
        <v>0</v>
      </c>
    </row>
    <row r="298" spans="1:19" ht="12.75" customHeight="1" x14ac:dyDescent="0.25">
      <c r="A298" s="5"/>
      <c r="B298" s="5"/>
      <c r="C298" s="5"/>
      <c r="D298" s="1" t="s">
        <v>90</v>
      </c>
      <c r="E298" s="30">
        <f>SUM(G298:K298)</f>
        <v>452364.4</v>
      </c>
      <c r="G298" s="52"/>
      <c r="H298" s="51"/>
      <c r="I298" s="52">
        <v>452364.4</v>
      </c>
      <c r="J298" s="51"/>
      <c r="K298" s="52"/>
      <c r="L298" s="51"/>
      <c r="M298" s="52">
        <v>163375.98000000001</v>
      </c>
      <c r="N298" s="51"/>
      <c r="O298" s="52">
        <v>288988.42</v>
      </c>
      <c r="P298" s="51"/>
      <c r="Q298" s="52"/>
      <c r="R298" s="49">
        <f>E298-M298-O298-Q298</f>
        <v>5.8207660913467407E-11</v>
      </c>
      <c r="S298" s="77">
        <f t="shared" si="37"/>
        <v>5.8207660913467407E-11</v>
      </c>
    </row>
    <row r="299" spans="1:19" ht="12.75" customHeight="1" x14ac:dyDescent="0.25">
      <c r="A299" s="5"/>
      <c r="B299" s="5"/>
      <c r="C299" s="1"/>
      <c r="D299" s="1" t="s">
        <v>273</v>
      </c>
      <c r="E299" s="54">
        <f>G299+I299+K299</f>
        <v>2065064.22</v>
      </c>
      <c r="G299" s="53"/>
      <c r="H299" s="51"/>
      <c r="I299" s="53">
        <v>2065064.22</v>
      </c>
      <c r="J299" s="51"/>
      <c r="K299" s="53"/>
      <c r="L299" s="51"/>
      <c r="M299" s="53">
        <v>1046548.59</v>
      </c>
      <c r="N299" s="51"/>
      <c r="O299" s="53">
        <v>2646165.83</v>
      </c>
      <c r="P299" s="51"/>
      <c r="Q299" s="53">
        <v>1627650.2</v>
      </c>
      <c r="R299" s="49">
        <f>E299-M299-O299-Q299</f>
        <v>-3255300.4000000004</v>
      </c>
      <c r="S299" s="77">
        <f t="shared" si="37"/>
        <v>0</v>
      </c>
    </row>
    <row r="300" spans="1:19" ht="12.75" customHeight="1" x14ac:dyDescent="0.25">
      <c r="A300" s="5"/>
      <c r="B300" s="33"/>
    </row>
    <row r="301" spans="1:19" ht="12.75" customHeight="1" x14ac:dyDescent="0.25">
      <c r="A301" s="5"/>
      <c r="B301" s="5"/>
      <c r="C301" s="5"/>
      <c r="D301" s="1" t="s">
        <v>91</v>
      </c>
      <c r="E301" s="6">
        <f>SUM(E297:E299)</f>
        <v>3869921.1900000004</v>
      </c>
      <c r="G301" s="6">
        <f>SUM(G297:G299)</f>
        <v>0</v>
      </c>
      <c r="I301" s="6">
        <f>SUM(I297:I299)</f>
        <v>3869921.1900000004</v>
      </c>
      <c r="K301" s="6">
        <f>SUM(K297:K299)</f>
        <v>0</v>
      </c>
      <c r="M301" s="6">
        <f>SUM(M297:M299)</f>
        <v>1884837.99</v>
      </c>
      <c r="O301" s="6">
        <f>SUM(O297:O299)</f>
        <v>3612619.4000000004</v>
      </c>
      <c r="Q301" s="6">
        <f>SUM(Q297:Q299)</f>
        <v>1627536.2</v>
      </c>
      <c r="R301" s="49">
        <f>E301-M301-O301-Q301</f>
        <v>-3255072.4</v>
      </c>
      <c r="S301" s="77">
        <f>E301-M301-O301+Q301</f>
        <v>0</v>
      </c>
    </row>
    <row r="302" spans="1:19" ht="12.75" customHeight="1" x14ac:dyDescent="0.25">
      <c r="A302" s="5"/>
      <c r="B302" s="1"/>
      <c r="E302" s="34"/>
      <c r="G302" s="34"/>
      <c r="I302" s="34"/>
      <c r="K302" s="34"/>
      <c r="M302" s="34"/>
      <c r="O302" s="34"/>
      <c r="Q302" s="34"/>
    </row>
    <row r="303" spans="1:19" ht="12.75" customHeight="1" x14ac:dyDescent="0.25">
      <c r="A303" s="31" t="s">
        <v>286</v>
      </c>
      <c r="B303" s="32"/>
    </row>
    <row r="304" spans="1:19" ht="12.75" customHeight="1" x14ac:dyDescent="0.25">
      <c r="A304" s="33"/>
    </row>
    <row r="305" spans="1:19" ht="12.75" customHeight="1" x14ac:dyDescent="0.25">
      <c r="A305" s="5"/>
      <c r="B305" s="1" t="s">
        <v>113</v>
      </c>
      <c r="E305" s="54">
        <f>G305+I305+K305</f>
        <v>0</v>
      </c>
      <c r="G305" s="53">
        <v>0</v>
      </c>
      <c r="H305" s="51"/>
      <c r="I305" s="53"/>
      <c r="J305" s="51"/>
      <c r="K305" s="53" t="s">
        <v>19</v>
      </c>
      <c r="L305" s="51"/>
      <c r="M305" s="53" t="s">
        <v>19</v>
      </c>
      <c r="N305" s="51"/>
      <c r="O305" s="53"/>
      <c r="P305" s="51"/>
      <c r="Q305" s="53">
        <v>0</v>
      </c>
      <c r="R305" s="49">
        <f>E305-M305-O305-Q305</f>
        <v>0</v>
      </c>
      <c r="S305" s="77">
        <f>E305-M305-O305+Q305</f>
        <v>0</v>
      </c>
    </row>
    <row r="306" spans="1:19" ht="12.75" customHeight="1" x14ac:dyDescent="0.25">
      <c r="A306" s="38"/>
    </row>
    <row r="307" spans="1:19" ht="12.75" customHeight="1" x14ac:dyDescent="0.25">
      <c r="A307" s="31" t="s">
        <v>86</v>
      </c>
      <c r="B307" s="32"/>
    </row>
    <row r="308" spans="1:19" ht="12.75" customHeight="1" x14ac:dyDescent="0.25">
      <c r="A308" s="33"/>
    </row>
    <row r="309" spans="1:19" ht="12.75" customHeight="1" x14ac:dyDescent="0.25">
      <c r="A309" s="5"/>
      <c r="B309" s="1" t="s">
        <v>11</v>
      </c>
      <c r="E309" s="54">
        <f>G309+I309+K309</f>
        <v>6128719.2299999995</v>
      </c>
      <c r="G309" s="53">
        <v>38789.25</v>
      </c>
      <c r="H309" s="51"/>
      <c r="I309" s="53">
        <f>5168736.55+880243.43</f>
        <v>6048979.9799999995</v>
      </c>
      <c r="J309" s="51"/>
      <c r="K309" s="53">
        <v>40950</v>
      </c>
      <c r="L309" s="51"/>
      <c r="M309" s="53">
        <f>4780439.99+136398.365</f>
        <v>4916838.3550000004</v>
      </c>
      <c r="N309" s="51"/>
      <c r="O309" s="53">
        <f>467268.81+743845.08</f>
        <v>1211113.8899999999</v>
      </c>
      <c r="P309" s="51"/>
      <c r="Q309" s="53">
        <v>-767</v>
      </c>
      <c r="R309" s="49">
        <f>E309-M309-O309-Q309</f>
        <v>1533.9849999991711</v>
      </c>
      <c r="S309" s="77">
        <f>E309-M309-O309+Q309</f>
        <v>-1.5000000828877091E-2</v>
      </c>
    </row>
    <row r="310" spans="1:19" ht="12.75" customHeight="1" x14ac:dyDescent="0.25">
      <c r="A310" s="38"/>
    </row>
    <row r="311" spans="1:19" ht="12.75" customHeight="1" x14ac:dyDescent="0.25">
      <c r="A311" s="31" t="s">
        <v>188</v>
      </c>
      <c r="Q311" s="16"/>
    </row>
    <row r="312" spans="1:19" ht="12.75" customHeight="1" x14ac:dyDescent="0.25">
      <c r="A312" s="5"/>
      <c r="B312" s="44" t="s">
        <v>189</v>
      </c>
      <c r="Q312" s="16"/>
    </row>
    <row r="313" spans="1:19" ht="12.75" customHeight="1" x14ac:dyDescent="0.25">
      <c r="A313" s="33"/>
    </row>
    <row r="314" spans="1:19" ht="12.75" customHeight="1" x14ac:dyDescent="0.25">
      <c r="A314" s="5"/>
      <c r="C314" s="1" t="s">
        <v>190</v>
      </c>
      <c r="D314" s="1"/>
      <c r="E314" s="30">
        <f t="shared" ref="E314:E325" si="38">SUM(G314:K314)</f>
        <v>2412062.65</v>
      </c>
      <c r="G314" s="52">
        <v>1611144.58</v>
      </c>
      <c r="H314" s="51"/>
      <c r="I314" s="52">
        <v>800918.07</v>
      </c>
      <c r="J314" s="51"/>
      <c r="K314" s="52"/>
      <c r="L314" s="51"/>
      <c r="M314" s="52">
        <v>1268775.8899999999</v>
      </c>
      <c r="N314" s="51"/>
      <c r="O314" s="52">
        <v>1631489.96</v>
      </c>
      <c r="P314" s="51"/>
      <c r="Q314" s="52">
        <v>488203.2</v>
      </c>
      <c r="R314" s="49">
        <f t="shared" ref="R314:R325" si="39">E314-M314-O314-Q314</f>
        <v>-976406.39999999991</v>
      </c>
      <c r="S314" s="77">
        <f t="shared" ref="S314:S326" si="40">E314-M314-O314+Q314</f>
        <v>0</v>
      </c>
    </row>
    <row r="315" spans="1:19" ht="12.75" customHeight="1" x14ac:dyDescent="0.25">
      <c r="A315" s="5"/>
      <c r="C315" s="1" t="s">
        <v>191</v>
      </c>
      <c r="D315" s="1"/>
      <c r="E315" s="30">
        <f t="shared" si="38"/>
        <v>12828139.629999999</v>
      </c>
      <c r="G315" s="52">
        <v>10907258.359999999</v>
      </c>
      <c r="H315" s="51"/>
      <c r="I315" s="52">
        <v>1920203.27</v>
      </c>
      <c r="J315" s="51"/>
      <c r="K315" s="52">
        <v>678</v>
      </c>
      <c r="L315" s="51"/>
      <c r="M315" s="52">
        <v>3086409.6</v>
      </c>
      <c r="N315" s="51"/>
      <c r="O315" s="52">
        <v>13335555.109999999</v>
      </c>
      <c r="P315" s="51"/>
      <c r="Q315" s="52">
        <v>3593825.08</v>
      </c>
      <c r="R315" s="49">
        <f t="shared" si="39"/>
        <v>-7187650.1600000001</v>
      </c>
      <c r="S315" s="77">
        <f t="shared" si="40"/>
        <v>0</v>
      </c>
    </row>
    <row r="316" spans="1:19" ht="12.75" customHeight="1" x14ac:dyDescent="0.25">
      <c r="A316" s="5"/>
      <c r="C316" s="55" t="s">
        <v>297</v>
      </c>
      <c r="D316" s="1"/>
      <c r="E316" s="30">
        <f t="shared" ref="E316:E317" si="41">SUM(G316:K316)</f>
        <v>290050.74</v>
      </c>
      <c r="G316" s="52"/>
      <c r="H316" s="51"/>
      <c r="I316" s="52">
        <v>290050.74</v>
      </c>
      <c r="J316" s="51"/>
      <c r="K316" s="52"/>
      <c r="L316" s="51"/>
      <c r="M316" s="52"/>
      <c r="N316" s="51"/>
      <c r="O316" s="52">
        <v>290050.74</v>
      </c>
      <c r="P316" s="51"/>
      <c r="Q316" s="52"/>
      <c r="R316" s="49">
        <f t="shared" ref="R316:R317" si="42">E316-M316-O316-Q316</f>
        <v>0</v>
      </c>
      <c r="S316" s="77">
        <f t="shared" ref="S316:S317" si="43">E316-M316-O316+Q316</f>
        <v>0</v>
      </c>
    </row>
    <row r="317" spans="1:19" ht="12.75" customHeight="1" x14ac:dyDescent="0.25">
      <c r="A317" s="5"/>
      <c r="C317" s="55" t="s">
        <v>298</v>
      </c>
      <c r="D317" s="1"/>
      <c r="E317" s="30">
        <f t="shared" si="41"/>
        <v>76058.36</v>
      </c>
      <c r="G317" s="52"/>
      <c r="H317" s="51"/>
      <c r="I317" s="52">
        <v>76058.36</v>
      </c>
      <c r="J317" s="51"/>
      <c r="K317" s="52"/>
      <c r="L317" s="51"/>
      <c r="M317" s="52"/>
      <c r="N317" s="51"/>
      <c r="O317" s="52">
        <v>76058.36</v>
      </c>
      <c r="P317" s="51"/>
      <c r="Q317" s="52"/>
      <c r="R317" s="49">
        <f t="shared" si="42"/>
        <v>0</v>
      </c>
      <c r="S317" s="77">
        <f t="shared" si="43"/>
        <v>0</v>
      </c>
    </row>
    <row r="318" spans="1:19" ht="12.75" customHeight="1" x14ac:dyDescent="0.25">
      <c r="A318" s="5"/>
      <c r="C318" s="1" t="s">
        <v>192</v>
      </c>
      <c r="D318" s="1"/>
      <c r="E318" s="30">
        <f t="shared" si="38"/>
        <v>3503068.6500000004</v>
      </c>
      <c r="G318" s="52">
        <v>3235618.37</v>
      </c>
      <c r="H318" s="51"/>
      <c r="I318" s="52">
        <v>267450.28000000003</v>
      </c>
      <c r="J318" s="51"/>
      <c r="K318" s="52"/>
      <c r="L318" s="51"/>
      <c r="M318" s="52">
        <v>1905997.3</v>
      </c>
      <c r="N318" s="51"/>
      <c r="O318" s="52">
        <v>2068581.4</v>
      </c>
      <c r="P318" s="51"/>
      <c r="Q318" s="52">
        <v>471510.05</v>
      </c>
      <c r="R318" s="49">
        <f t="shared" si="39"/>
        <v>-943020.09999999963</v>
      </c>
      <c r="S318" s="77">
        <f t="shared" si="40"/>
        <v>0</v>
      </c>
    </row>
    <row r="319" spans="1:19" ht="12.75" customHeight="1" x14ac:dyDescent="0.25">
      <c r="A319" s="5"/>
      <c r="C319" s="1" t="s">
        <v>193</v>
      </c>
      <c r="D319" s="1"/>
      <c r="E319" s="30">
        <f t="shared" si="38"/>
        <v>8595104.379999999</v>
      </c>
      <c r="G319" s="52">
        <v>7878040.7199999997</v>
      </c>
      <c r="H319" s="51"/>
      <c r="I319" s="52">
        <v>717063.66</v>
      </c>
      <c r="J319" s="51"/>
      <c r="K319" s="52"/>
      <c r="L319" s="51"/>
      <c r="M319" s="52">
        <v>5496805.9699999997</v>
      </c>
      <c r="N319" s="51"/>
      <c r="O319" s="52">
        <v>4239608.75</v>
      </c>
      <c r="P319" s="51"/>
      <c r="Q319" s="52">
        <v>1141310.3400000001</v>
      </c>
      <c r="R319" s="49">
        <f t="shared" si="39"/>
        <v>-2282620.6800000006</v>
      </c>
      <c r="S319" s="77">
        <f t="shared" si="40"/>
        <v>0</v>
      </c>
    </row>
    <row r="320" spans="1:19" ht="12.75" customHeight="1" x14ac:dyDescent="0.25">
      <c r="A320" s="5"/>
      <c r="C320" s="1" t="s">
        <v>194</v>
      </c>
      <c r="D320" s="1"/>
      <c r="E320" s="30">
        <f t="shared" si="38"/>
        <v>672008.3</v>
      </c>
      <c r="G320" s="52">
        <v>578022.41</v>
      </c>
      <c r="H320" s="51"/>
      <c r="I320" s="52">
        <v>93985.89</v>
      </c>
      <c r="J320" s="51"/>
      <c r="K320" s="52"/>
      <c r="L320" s="51"/>
      <c r="M320" s="52">
        <v>6479362.9500000002</v>
      </c>
      <c r="N320" s="51"/>
      <c r="O320" s="52">
        <v>18936117.030000001</v>
      </c>
      <c r="P320" s="51"/>
      <c r="Q320" s="52">
        <v>24743471.68</v>
      </c>
      <c r="R320" s="49">
        <f t="shared" si="39"/>
        <v>-49486943.359999999</v>
      </c>
      <c r="S320" s="77">
        <f t="shared" si="40"/>
        <v>0</v>
      </c>
    </row>
    <row r="321" spans="1:19" ht="12.75" customHeight="1" x14ac:dyDescent="0.25">
      <c r="A321" s="5"/>
      <c r="C321" s="1" t="s">
        <v>195</v>
      </c>
      <c r="D321" s="1"/>
      <c r="E321" s="30">
        <f t="shared" si="38"/>
        <v>519125.53</v>
      </c>
      <c r="G321" s="52">
        <v>462189</v>
      </c>
      <c r="H321" s="51"/>
      <c r="I321" s="52">
        <v>56936.53</v>
      </c>
      <c r="J321" s="51"/>
      <c r="K321" s="52"/>
      <c r="L321" s="51"/>
      <c r="M321" s="52"/>
      <c r="N321" s="51"/>
      <c r="O321" s="52">
        <v>613259.97</v>
      </c>
      <c r="P321" s="51"/>
      <c r="Q321" s="52">
        <v>94134.44</v>
      </c>
      <c r="R321" s="49">
        <f t="shared" si="39"/>
        <v>-188268.87999999995</v>
      </c>
      <c r="S321" s="77">
        <f t="shared" si="40"/>
        <v>0</v>
      </c>
    </row>
    <row r="322" spans="1:19" ht="12.75" customHeight="1" x14ac:dyDescent="0.25">
      <c r="A322" s="5"/>
      <c r="C322" s="1" t="s">
        <v>196</v>
      </c>
      <c r="D322" s="1"/>
      <c r="E322" s="30">
        <f t="shared" si="38"/>
        <v>11784507.789999999</v>
      </c>
      <c r="G322" s="52">
        <v>10175621.5</v>
      </c>
      <c r="H322" s="51"/>
      <c r="I322" s="52">
        <v>1608886.29</v>
      </c>
      <c r="J322" s="51"/>
      <c r="K322" s="52"/>
      <c r="L322" s="51"/>
      <c r="M322" s="52">
        <v>1230127.01</v>
      </c>
      <c r="N322" s="51"/>
      <c r="O322" s="52">
        <v>12394854.1</v>
      </c>
      <c r="P322" s="51"/>
      <c r="Q322" s="52">
        <v>1840473.32</v>
      </c>
      <c r="R322" s="49">
        <f t="shared" si="39"/>
        <v>-3680946.6400000006</v>
      </c>
      <c r="S322" s="77">
        <f t="shared" si="40"/>
        <v>0</v>
      </c>
    </row>
    <row r="323" spans="1:19" ht="12.75" customHeight="1" x14ac:dyDescent="0.25">
      <c r="A323" s="5"/>
      <c r="C323" s="1" t="s">
        <v>231</v>
      </c>
      <c r="D323" s="1"/>
      <c r="E323" s="30">
        <f t="shared" si="38"/>
        <v>87806.75</v>
      </c>
      <c r="G323" s="52"/>
      <c r="H323" s="51"/>
      <c r="I323" s="52">
        <v>87806.75</v>
      </c>
      <c r="J323" s="51"/>
      <c r="K323" s="52"/>
      <c r="L323" s="51"/>
      <c r="M323" s="52">
        <v>24508.400000000001</v>
      </c>
      <c r="N323" s="51"/>
      <c r="O323" s="52">
        <v>63298.35</v>
      </c>
      <c r="P323" s="51"/>
      <c r="Q323" s="52"/>
      <c r="R323" s="49">
        <f t="shared" si="39"/>
        <v>0</v>
      </c>
      <c r="S323" s="77">
        <f t="shared" si="40"/>
        <v>0</v>
      </c>
    </row>
    <row r="324" spans="1:19" ht="12.75" customHeight="1" x14ac:dyDescent="0.25">
      <c r="A324" s="5"/>
      <c r="C324" s="1" t="s">
        <v>197</v>
      </c>
      <c r="D324" s="1"/>
      <c r="E324" s="30">
        <f t="shared" si="38"/>
        <v>814950.29</v>
      </c>
      <c r="G324" s="52">
        <v>-233016.62</v>
      </c>
      <c r="H324" s="51"/>
      <c r="I324" s="52">
        <v>1033596.91</v>
      </c>
      <c r="J324" s="51"/>
      <c r="K324" s="52">
        <v>14370</v>
      </c>
      <c r="L324" s="51"/>
      <c r="M324" s="52">
        <v>99043.68</v>
      </c>
      <c r="N324" s="51"/>
      <c r="O324" s="52">
        <v>715906.61</v>
      </c>
      <c r="P324" s="51"/>
      <c r="Q324" s="52"/>
      <c r="R324" s="49">
        <f t="shared" si="39"/>
        <v>1.1641532182693481E-10</v>
      </c>
      <c r="S324" s="77">
        <f t="shared" si="40"/>
        <v>1.1641532182693481E-10</v>
      </c>
    </row>
    <row r="325" spans="1:19" ht="12.75" customHeight="1" x14ac:dyDescent="0.25">
      <c r="A325" s="5"/>
      <c r="C325" s="1" t="s">
        <v>100</v>
      </c>
      <c r="D325" s="1"/>
      <c r="E325" s="30">
        <f t="shared" si="38"/>
        <v>168397.21</v>
      </c>
      <c r="G325" s="52">
        <v>96827.15</v>
      </c>
      <c r="H325" s="51"/>
      <c r="I325" s="52">
        <v>71570.06</v>
      </c>
      <c r="J325" s="51"/>
      <c r="K325" s="52"/>
      <c r="L325" s="51"/>
      <c r="M325" s="52">
        <v>174893.99</v>
      </c>
      <c r="N325" s="51"/>
      <c r="O325" s="52">
        <v>-6496.78</v>
      </c>
      <c r="P325" s="51"/>
      <c r="Q325" s="52"/>
      <c r="R325" s="49">
        <f t="shared" si="39"/>
        <v>9.0949470177292824E-13</v>
      </c>
      <c r="S325" s="77">
        <f t="shared" si="40"/>
        <v>9.0949470177292824E-13</v>
      </c>
    </row>
    <row r="326" spans="1:19" ht="12.75" customHeight="1" x14ac:dyDescent="0.25">
      <c r="A326" s="5"/>
      <c r="C326" s="1" t="s">
        <v>101</v>
      </c>
      <c r="D326" s="1"/>
      <c r="E326" s="54">
        <f>G326+I326+K326</f>
        <v>0</v>
      </c>
      <c r="G326" s="53">
        <v>-12593437.140000001</v>
      </c>
      <c r="H326" s="51"/>
      <c r="I326" s="53">
        <v>12593437.140000001</v>
      </c>
      <c r="J326" s="51"/>
      <c r="K326" s="53"/>
      <c r="L326" s="51"/>
      <c r="M326" s="53"/>
      <c r="N326" s="51"/>
      <c r="O326" s="53"/>
      <c r="P326" s="51"/>
      <c r="Q326" s="53"/>
      <c r="R326" s="49">
        <f>E326-M326-O326-Q326</f>
        <v>0</v>
      </c>
      <c r="S326" s="77">
        <f t="shared" si="40"/>
        <v>0</v>
      </c>
    </row>
    <row r="327" spans="1:19" ht="12.75" customHeight="1" x14ac:dyDescent="0.25">
      <c r="A327" s="33"/>
    </row>
    <row r="328" spans="1:19" ht="12.75" customHeight="1" x14ac:dyDescent="0.25">
      <c r="A328" s="5"/>
      <c r="B328" s="5"/>
      <c r="C328" s="5"/>
      <c r="D328" s="1" t="s">
        <v>198</v>
      </c>
    </row>
    <row r="329" spans="1:19" ht="12.75" customHeight="1" x14ac:dyDescent="0.25">
      <c r="A329" s="5"/>
      <c r="B329" s="5"/>
      <c r="C329" s="5"/>
      <c r="D329" s="1" t="s">
        <v>199</v>
      </c>
      <c r="E329" s="6">
        <f>SUM(E314:E326)</f>
        <v>41751280.280000001</v>
      </c>
      <c r="G329" s="6">
        <f>SUM(G314:G326)</f>
        <v>22118268.329999998</v>
      </c>
      <c r="I329" s="6">
        <f>SUM(I314:I326)</f>
        <v>19617963.949999999</v>
      </c>
      <c r="K329" s="6">
        <f>SUM(K314:K326)</f>
        <v>15048</v>
      </c>
      <c r="M329" s="6">
        <f>SUM(M314:M326)</f>
        <v>19765924.789999999</v>
      </c>
      <c r="O329" s="6">
        <f>SUM(O314:O326)</f>
        <v>54358283.600000001</v>
      </c>
      <c r="Q329" s="6">
        <f>SUM(Q314:Q326)</f>
        <v>32372928.110000003</v>
      </c>
      <c r="R329" s="49">
        <f>E329-G329-I329-K329</f>
        <v>3.7252902984619141E-9</v>
      </c>
      <c r="S329" s="77">
        <f>E329-M329-O329+Q329</f>
        <v>0</v>
      </c>
    </row>
    <row r="330" spans="1:19" ht="12.75" customHeight="1" x14ac:dyDescent="0.25">
      <c r="A330" s="38"/>
      <c r="G330" s="74"/>
    </row>
    <row r="331" spans="1:19" ht="12.75" customHeight="1" x14ac:dyDescent="0.25">
      <c r="A331" s="31" t="s">
        <v>130</v>
      </c>
    </row>
    <row r="332" spans="1:19" ht="12.75" customHeight="1" x14ac:dyDescent="0.25">
      <c r="A332" s="33"/>
    </row>
    <row r="333" spans="1:19" ht="12.75" customHeight="1" x14ac:dyDescent="0.25">
      <c r="A333" s="33"/>
      <c r="B333" s="16">
        <v>1</v>
      </c>
      <c r="C333" s="1" t="s">
        <v>131</v>
      </c>
      <c r="D333" s="1"/>
      <c r="E333" s="30">
        <f>SUM(G333:K333)</f>
        <v>10857694.890000001</v>
      </c>
      <c r="G333" s="52">
        <v>264090.05</v>
      </c>
      <c r="H333" s="51"/>
      <c r="I333" s="52">
        <v>10593530.74</v>
      </c>
      <c r="J333" s="51"/>
      <c r="K333" s="52">
        <v>74.099999999999994</v>
      </c>
      <c r="L333" s="51"/>
      <c r="M333" s="52">
        <v>6636023.2400000002</v>
      </c>
      <c r="N333" s="51"/>
      <c r="O333" s="52">
        <v>4285380.6500000004</v>
      </c>
      <c r="P333" s="51"/>
      <c r="Q333" s="52">
        <v>63709</v>
      </c>
      <c r="R333" s="49">
        <f t="shared" ref="R333:R345" si="44">E333-M333-O333-Q333</f>
        <v>-127418</v>
      </c>
      <c r="S333" s="77">
        <f t="shared" ref="S333:S365" si="45">E333-M333-O333+Q333</f>
        <v>0</v>
      </c>
    </row>
    <row r="334" spans="1:19" ht="12.75" customHeight="1" x14ac:dyDescent="0.25">
      <c r="A334" s="33"/>
      <c r="B334" s="16">
        <v>2</v>
      </c>
      <c r="C334" s="1" t="s">
        <v>132</v>
      </c>
      <c r="D334" s="1"/>
      <c r="E334" s="30">
        <f>SUM(G334:K334)</f>
        <v>7922121.2199999997</v>
      </c>
      <c r="G334" s="52"/>
      <c r="H334" s="51"/>
      <c r="I334" s="52">
        <v>7919190.0199999996</v>
      </c>
      <c r="J334" s="51"/>
      <c r="K334" s="52">
        <v>2931.2</v>
      </c>
      <c r="L334" s="51"/>
      <c r="M334" s="52">
        <v>2139400.9900000002</v>
      </c>
      <c r="N334" s="51"/>
      <c r="O334" s="52">
        <v>5782720.2300000004</v>
      </c>
      <c r="P334" s="51"/>
      <c r="Q334" s="52"/>
      <c r="R334" s="49">
        <f t="shared" si="44"/>
        <v>-9.3132257461547852E-10</v>
      </c>
      <c r="S334" s="77">
        <f t="shared" si="45"/>
        <v>-9.3132257461547852E-10</v>
      </c>
    </row>
    <row r="335" spans="1:19" ht="12.75" customHeight="1" x14ac:dyDescent="0.25">
      <c r="A335" s="33"/>
      <c r="B335" s="16">
        <v>3</v>
      </c>
      <c r="C335" s="1" t="s">
        <v>133</v>
      </c>
      <c r="D335" s="1"/>
      <c r="E335" s="30">
        <f>SUM(G335:K335)</f>
        <v>2366219.1900000004</v>
      </c>
      <c r="G335" s="52">
        <v>11652.81</v>
      </c>
      <c r="H335" s="51"/>
      <c r="I335" s="52">
        <v>2346598.14</v>
      </c>
      <c r="J335" s="51"/>
      <c r="K335" s="52">
        <v>7968.24</v>
      </c>
      <c r="L335" s="51"/>
      <c r="M335" s="52">
        <v>1695472.31</v>
      </c>
      <c r="N335" s="51"/>
      <c r="O335" s="52">
        <v>703038.03</v>
      </c>
      <c r="P335" s="51"/>
      <c r="Q335" s="52">
        <v>32291.15</v>
      </c>
      <c r="R335" s="49">
        <f t="shared" si="44"/>
        <v>-64582.299999999675</v>
      </c>
      <c r="S335" s="77">
        <f t="shared" si="45"/>
        <v>3.2741809263825417E-10</v>
      </c>
    </row>
    <row r="336" spans="1:19" ht="12.75" customHeight="1" x14ac:dyDescent="0.25">
      <c r="A336" s="33"/>
      <c r="B336" s="16">
        <v>4</v>
      </c>
      <c r="C336" s="1" t="s">
        <v>219</v>
      </c>
      <c r="D336" s="1"/>
      <c r="E336" s="30">
        <f>SUM(G336:K336)</f>
        <v>0</v>
      </c>
      <c r="G336" s="52"/>
      <c r="H336" s="51"/>
      <c r="I336" s="52"/>
      <c r="J336" s="51"/>
      <c r="K336" s="52"/>
      <c r="L336" s="51"/>
      <c r="M336" s="52"/>
      <c r="N336" s="51"/>
      <c r="O336" s="52"/>
      <c r="P336" s="51"/>
      <c r="Q336" s="52"/>
      <c r="R336" s="49">
        <f t="shared" si="44"/>
        <v>0</v>
      </c>
      <c r="S336" s="77">
        <f t="shared" si="45"/>
        <v>0</v>
      </c>
    </row>
    <row r="337" spans="1:19" ht="12.75" customHeight="1" x14ac:dyDescent="0.25">
      <c r="A337" s="33"/>
      <c r="B337" s="16">
        <v>5</v>
      </c>
      <c r="C337" s="1" t="s">
        <v>134</v>
      </c>
      <c r="D337" s="1"/>
      <c r="E337" s="30">
        <f t="shared" ref="E337:E345" si="46">SUM(G337:K337)</f>
        <v>264003.52</v>
      </c>
      <c r="G337" s="52"/>
      <c r="H337" s="51"/>
      <c r="I337" s="52">
        <v>264003.52</v>
      </c>
      <c r="J337" s="51"/>
      <c r="K337" s="52"/>
      <c r="L337" s="51"/>
      <c r="M337" s="52">
        <v>153943.16</v>
      </c>
      <c r="N337" s="51"/>
      <c r="O337" s="52">
        <v>108833.36</v>
      </c>
      <c r="P337" s="51"/>
      <c r="Q337" s="52">
        <v>-1227</v>
      </c>
      <c r="R337" s="49">
        <f t="shared" si="44"/>
        <v>2454.0000000000146</v>
      </c>
      <c r="S337" s="77">
        <f t="shared" si="45"/>
        <v>1.4551915228366852E-11</v>
      </c>
    </row>
    <row r="338" spans="1:19" ht="12.75" customHeight="1" x14ac:dyDescent="0.25">
      <c r="A338" s="33"/>
      <c r="B338" s="16">
        <v>6</v>
      </c>
      <c r="C338" s="1" t="s">
        <v>135</v>
      </c>
      <c r="D338" s="1"/>
      <c r="E338" s="30">
        <f t="shared" si="46"/>
        <v>4512464.3800000008</v>
      </c>
      <c r="G338" s="52">
        <v>619.5</v>
      </c>
      <c r="H338" s="51"/>
      <c r="I338" s="52">
        <v>4497830.9000000004</v>
      </c>
      <c r="J338" s="51"/>
      <c r="K338" s="52">
        <v>14013.98</v>
      </c>
      <c r="L338" s="51"/>
      <c r="M338" s="52">
        <v>2774253.27</v>
      </c>
      <c r="N338" s="51"/>
      <c r="O338" s="52">
        <v>1733346.61</v>
      </c>
      <c r="P338" s="51"/>
      <c r="Q338" s="52">
        <v>-4864.5</v>
      </c>
      <c r="R338" s="49">
        <f t="shared" si="44"/>
        <v>9729.0000000006985</v>
      </c>
      <c r="S338" s="77">
        <f t="shared" si="45"/>
        <v>6.9849193096160889E-10</v>
      </c>
    </row>
    <row r="339" spans="1:19" ht="12.75" customHeight="1" x14ac:dyDescent="0.25">
      <c r="A339" s="33"/>
      <c r="B339" s="16">
        <v>7</v>
      </c>
      <c r="C339" s="1" t="s">
        <v>254</v>
      </c>
      <c r="D339" s="1"/>
      <c r="E339" s="30">
        <f>SUM(G339:K339)</f>
        <v>415866.98</v>
      </c>
      <c r="G339" s="52"/>
      <c r="H339" s="51"/>
      <c r="I339" s="52">
        <v>415866.98</v>
      </c>
      <c r="J339" s="51"/>
      <c r="K339" s="52"/>
      <c r="L339" s="51"/>
      <c r="M339" s="52">
        <v>248605.16</v>
      </c>
      <c r="N339" s="51"/>
      <c r="O339" s="52">
        <v>167261.82</v>
      </c>
      <c r="P339" s="51"/>
      <c r="Q339" s="52"/>
      <c r="R339" s="49">
        <f t="shared" si="44"/>
        <v>-2.9103830456733704E-11</v>
      </c>
      <c r="S339" s="77">
        <f t="shared" si="45"/>
        <v>-2.9103830456733704E-11</v>
      </c>
    </row>
    <row r="340" spans="1:19" ht="12.75" customHeight="1" x14ac:dyDescent="0.25">
      <c r="A340" s="33"/>
      <c r="B340" s="16">
        <v>7</v>
      </c>
      <c r="C340" s="1" t="s">
        <v>136</v>
      </c>
      <c r="D340" s="1"/>
      <c r="E340" s="30">
        <f t="shared" si="46"/>
        <v>5502433.3400000008</v>
      </c>
      <c r="G340" s="52">
        <v>19417.03</v>
      </c>
      <c r="H340" s="51"/>
      <c r="I340" s="52">
        <v>5328879.9000000004</v>
      </c>
      <c r="J340" s="51"/>
      <c r="K340" s="52">
        <v>154136.41</v>
      </c>
      <c r="L340" s="51"/>
      <c r="M340" s="52">
        <v>2797192.08</v>
      </c>
      <c r="N340" s="51"/>
      <c r="O340" s="52">
        <v>2697420.26</v>
      </c>
      <c r="P340" s="51"/>
      <c r="Q340" s="52">
        <v>-7821</v>
      </c>
      <c r="R340" s="49">
        <f t="shared" si="44"/>
        <v>15642.000000000931</v>
      </c>
      <c r="S340" s="77">
        <f t="shared" si="45"/>
        <v>9.3132257461547852E-10</v>
      </c>
    </row>
    <row r="341" spans="1:19" ht="12.75" customHeight="1" x14ac:dyDescent="0.25">
      <c r="A341" s="33"/>
      <c r="B341" s="16">
        <v>8</v>
      </c>
      <c r="C341" s="1" t="s">
        <v>137</v>
      </c>
      <c r="D341" s="1"/>
      <c r="E341" s="30">
        <f t="shared" si="46"/>
        <v>1058148.55</v>
      </c>
      <c r="G341" s="52">
        <v>515.85</v>
      </c>
      <c r="H341" s="51"/>
      <c r="I341" s="52">
        <v>1045457.62</v>
      </c>
      <c r="J341" s="51"/>
      <c r="K341" s="52">
        <v>12175.08</v>
      </c>
      <c r="L341" s="51"/>
      <c r="M341" s="52">
        <v>753800.66</v>
      </c>
      <c r="N341" s="51"/>
      <c r="O341" s="52">
        <v>304347.89</v>
      </c>
      <c r="P341" s="51"/>
      <c r="Q341" s="52"/>
      <c r="R341" s="49">
        <f t="shared" si="44"/>
        <v>0</v>
      </c>
      <c r="S341" s="77">
        <f t="shared" si="45"/>
        <v>0</v>
      </c>
    </row>
    <row r="342" spans="1:19" ht="12.75" customHeight="1" x14ac:dyDescent="0.25">
      <c r="A342" s="33"/>
      <c r="B342" s="16">
        <v>9</v>
      </c>
      <c r="C342" s="1" t="s">
        <v>138</v>
      </c>
      <c r="D342" s="1"/>
      <c r="E342" s="30">
        <f t="shared" si="46"/>
        <v>447206.59</v>
      </c>
      <c r="G342" s="52">
        <v>603.32000000000005</v>
      </c>
      <c r="H342" s="51"/>
      <c r="I342" s="52">
        <v>427607.32</v>
      </c>
      <c r="J342" s="51"/>
      <c r="K342" s="52">
        <v>18995.95</v>
      </c>
      <c r="L342" s="51"/>
      <c r="M342" s="52">
        <v>272980.78000000003</v>
      </c>
      <c r="N342" s="51"/>
      <c r="O342" s="52">
        <v>204202.01</v>
      </c>
      <c r="P342" s="51"/>
      <c r="Q342" s="52">
        <v>29976.2</v>
      </c>
      <c r="R342" s="49">
        <f t="shared" si="44"/>
        <v>-59952.400000000009</v>
      </c>
      <c r="S342" s="77">
        <f t="shared" si="45"/>
        <v>0</v>
      </c>
    </row>
    <row r="343" spans="1:19" ht="12.75" customHeight="1" x14ac:dyDescent="0.25">
      <c r="A343" s="33"/>
      <c r="B343" s="16">
        <v>10</v>
      </c>
      <c r="C343" s="1" t="s">
        <v>139</v>
      </c>
      <c r="D343" s="1"/>
      <c r="E343" s="30">
        <f t="shared" si="46"/>
        <v>2445844.7599999998</v>
      </c>
      <c r="G343" s="52">
        <v>17642.28</v>
      </c>
      <c r="H343" s="51"/>
      <c r="I343" s="52">
        <v>2403003.83</v>
      </c>
      <c r="J343" s="51"/>
      <c r="K343" s="52">
        <v>25198.65</v>
      </c>
      <c r="L343" s="51"/>
      <c r="M343" s="52">
        <v>1671966.17</v>
      </c>
      <c r="N343" s="51"/>
      <c r="O343" s="52">
        <v>952182.66</v>
      </c>
      <c r="P343" s="51"/>
      <c r="Q343" s="52">
        <v>178304.07</v>
      </c>
      <c r="R343" s="49">
        <f t="shared" si="44"/>
        <v>-356608.14000000019</v>
      </c>
      <c r="S343" s="77">
        <f t="shared" si="45"/>
        <v>0</v>
      </c>
    </row>
    <row r="344" spans="1:19" ht="12.75" customHeight="1" x14ac:dyDescent="0.25">
      <c r="A344" s="33"/>
      <c r="B344" s="16">
        <v>11</v>
      </c>
      <c r="C344" s="1" t="s">
        <v>140</v>
      </c>
      <c r="D344" s="1"/>
      <c r="E344" s="30">
        <f t="shared" si="46"/>
        <v>12471934.760000002</v>
      </c>
      <c r="G344" s="52">
        <v>704.55</v>
      </c>
      <c r="H344" s="51"/>
      <c r="I344" s="52">
        <v>11394089.84</v>
      </c>
      <c r="J344" s="51"/>
      <c r="K344" s="52">
        <v>1077140.3700000001</v>
      </c>
      <c r="L344" s="51"/>
      <c r="M344" s="52">
        <v>5439548.0999999996</v>
      </c>
      <c r="N344" s="51"/>
      <c r="O344" s="52">
        <v>6991287.3200000003</v>
      </c>
      <c r="P344" s="51"/>
      <c r="Q344" s="52">
        <v>-41099.339999999997</v>
      </c>
      <c r="R344" s="49">
        <f t="shared" si="44"/>
        <v>82198.68000000171</v>
      </c>
      <c r="S344" s="77">
        <f t="shared" si="45"/>
        <v>1.7171259969472885E-9</v>
      </c>
    </row>
    <row r="345" spans="1:19" ht="12.75" customHeight="1" x14ac:dyDescent="0.25">
      <c r="A345" s="33"/>
      <c r="B345" s="16">
        <v>12</v>
      </c>
      <c r="C345" s="1" t="s">
        <v>255</v>
      </c>
      <c r="D345" s="1"/>
      <c r="E345" s="30">
        <f t="shared" si="46"/>
        <v>16186.7</v>
      </c>
      <c r="G345" s="52"/>
      <c r="H345" s="51"/>
      <c r="I345" s="52">
        <v>16186.7</v>
      </c>
      <c r="J345" s="51"/>
      <c r="K345" s="52"/>
      <c r="L345" s="51"/>
      <c r="M345" s="52">
        <v>5759.1</v>
      </c>
      <c r="N345" s="51"/>
      <c r="O345" s="52">
        <v>10427.6</v>
      </c>
      <c r="P345" s="51"/>
      <c r="Q345" s="52"/>
      <c r="R345" s="49">
        <f t="shared" si="44"/>
        <v>0</v>
      </c>
      <c r="S345" s="77">
        <f t="shared" si="45"/>
        <v>0</v>
      </c>
    </row>
    <row r="346" spans="1:19" ht="12.75" customHeight="1" x14ac:dyDescent="0.25">
      <c r="A346" s="33"/>
      <c r="B346" s="16">
        <v>12</v>
      </c>
      <c r="C346" s="1" t="s">
        <v>141</v>
      </c>
      <c r="D346" s="1"/>
      <c r="E346" s="30"/>
      <c r="G346" s="52"/>
      <c r="H346" s="51"/>
      <c r="I346" s="52"/>
      <c r="J346" s="51"/>
      <c r="K346" s="52"/>
      <c r="L346" s="51"/>
      <c r="M346" s="52"/>
      <c r="N346" s="51"/>
      <c r="O346" s="52"/>
      <c r="P346" s="51"/>
      <c r="Q346" s="52"/>
      <c r="R346" s="49"/>
      <c r="S346" s="77">
        <f t="shared" si="45"/>
        <v>0</v>
      </c>
    </row>
    <row r="347" spans="1:19" ht="12.75" customHeight="1" x14ac:dyDescent="0.25">
      <c r="A347" s="33"/>
      <c r="B347" s="16">
        <v>13</v>
      </c>
      <c r="C347" s="5"/>
      <c r="D347" s="5" t="s">
        <v>142</v>
      </c>
      <c r="E347" s="30">
        <f t="shared" ref="E347:E352" si="47">SUM(G347:K347)</f>
        <v>0</v>
      </c>
      <c r="G347" s="52"/>
      <c r="H347" s="51"/>
      <c r="I347" s="52"/>
      <c r="J347" s="51"/>
      <c r="K347" s="52"/>
      <c r="L347" s="51"/>
      <c r="M347" s="52"/>
      <c r="N347" s="51"/>
      <c r="O347" s="52"/>
      <c r="P347" s="51"/>
      <c r="Q347" s="52"/>
      <c r="R347" s="49">
        <f t="shared" ref="R347:R352" si="48">E347-M347-O347-Q347</f>
        <v>0</v>
      </c>
      <c r="S347" s="77">
        <f t="shared" si="45"/>
        <v>0</v>
      </c>
    </row>
    <row r="348" spans="1:19" ht="12.75" customHeight="1" x14ac:dyDescent="0.25">
      <c r="A348" s="33"/>
      <c r="B348" s="16">
        <v>14</v>
      </c>
      <c r="C348" s="1" t="s">
        <v>143</v>
      </c>
      <c r="D348" s="1"/>
      <c r="E348" s="30">
        <f t="shared" si="47"/>
        <v>1035344.26</v>
      </c>
      <c r="G348" s="52">
        <v>4951.91</v>
      </c>
      <c r="H348" s="51"/>
      <c r="I348" s="52">
        <v>1016541.47</v>
      </c>
      <c r="J348" s="51"/>
      <c r="K348" s="52">
        <v>13850.88</v>
      </c>
      <c r="L348" s="51"/>
      <c r="M348" s="52">
        <v>669401.75</v>
      </c>
      <c r="N348" s="51"/>
      <c r="O348" s="52">
        <v>365591.51</v>
      </c>
      <c r="P348" s="51"/>
      <c r="Q348" s="52">
        <v>-351</v>
      </c>
      <c r="R348" s="49">
        <f t="shared" si="48"/>
        <v>702</v>
      </c>
      <c r="S348" s="77">
        <f t="shared" si="45"/>
        <v>0</v>
      </c>
    </row>
    <row r="349" spans="1:19" ht="12.75" customHeight="1" x14ac:dyDescent="0.25">
      <c r="A349" s="33"/>
      <c r="B349" s="16">
        <v>15</v>
      </c>
      <c r="C349" s="1" t="s">
        <v>144</v>
      </c>
      <c r="D349" s="1"/>
      <c r="E349" s="30">
        <f t="shared" si="47"/>
        <v>1135377.52</v>
      </c>
      <c r="G349" s="52">
        <v>88259.63</v>
      </c>
      <c r="H349" s="51"/>
      <c r="I349" s="52">
        <v>1043889.35</v>
      </c>
      <c r="J349" s="51"/>
      <c r="K349" s="52">
        <v>3228.54</v>
      </c>
      <c r="L349" s="51"/>
      <c r="M349" s="52">
        <v>685302.56</v>
      </c>
      <c r="N349" s="51"/>
      <c r="O349" s="52">
        <v>450002.96</v>
      </c>
      <c r="P349" s="51"/>
      <c r="Q349" s="52">
        <v>-72</v>
      </c>
      <c r="R349" s="49">
        <f t="shared" si="48"/>
        <v>143.99999999994179</v>
      </c>
      <c r="S349" s="77">
        <f t="shared" si="45"/>
        <v>-5.8207660913467407E-11</v>
      </c>
    </row>
    <row r="350" spans="1:19" ht="12.75" customHeight="1" x14ac:dyDescent="0.25">
      <c r="A350" s="33"/>
      <c r="B350" s="16">
        <v>16</v>
      </c>
      <c r="C350" s="1" t="s">
        <v>145</v>
      </c>
      <c r="D350" s="1"/>
      <c r="E350" s="30">
        <f t="shared" si="47"/>
        <v>322071.13</v>
      </c>
      <c r="G350" s="52">
        <v>193793.91</v>
      </c>
      <c r="H350" s="51"/>
      <c r="I350" s="52">
        <v>128277.22</v>
      </c>
      <c r="J350" s="51"/>
      <c r="K350" s="52"/>
      <c r="L350" s="51"/>
      <c r="M350" s="52">
        <v>143751.44</v>
      </c>
      <c r="N350" s="51"/>
      <c r="O350" s="52">
        <v>177081.19</v>
      </c>
      <c r="P350" s="51"/>
      <c r="Q350" s="52">
        <v>-1238.5</v>
      </c>
      <c r="R350" s="49">
        <f t="shared" si="48"/>
        <v>2477</v>
      </c>
      <c r="S350" s="77">
        <f t="shared" si="45"/>
        <v>0</v>
      </c>
    </row>
    <row r="351" spans="1:19" ht="12.75" customHeight="1" x14ac:dyDescent="0.25">
      <c r="A351" s="33"/>
      <c r="B351" s="16">
        <v>17</v>
      </c>
      <c r="C351" s="1" t="s">
        <v>146</v>
      </c>
      <c r="D351" s="1"/>
      <c r="E351" s="30">
        <f t="shared" si="47"/>
        <v>6455197.4100000001</v>
      </c>
      <c r="G351" s="52">
        <v>27476.799999999999</v>
      </c>
      <c r="H351" s="51"/>
      <c r="I351" s="52">
        <v>6165632.6200000001</v>
      </c>
      <c r="J351" s="51"/>
      <c r="K351" s="52">
        <v>262087.99</v>
      </c>
      <c r="L351" s="51"/>
      <c r="M351" s="52">
        <v>3677331.82</v>
      </c>
      <c r="N351" s="51"/>
      <c r="O351" s="52">
        <v>2771824.59</v>
      </c>
      <c r="P351" s="51"/>
      <c r="Q351" s="52">
        <v>-6041</v>
      </c>
      <c r="R351" s="49">
        <f t="shared" si="48"/>
        <v>12082.000000000466</v>
      </c>
      <c r="S351" s="77">
        <f t="shared" si="45"/>
        <v>4.6566128730773926E-10</v>
      </c>
    </row>
    <row r="352" spans="1:19" ht="12.75" customHeight="1" x14ac:dyDescent="0.25">
      <c r="A352" s="33"/>
      <c r="B352" s="16">
        <v>18</v>
      </c>
      <c r="C352" s="1" t="s">
        <v>147</v>
      </c>
      <c r="D352" s="1"/>
      <c r="E352" s="30">
        <f t="shared" si="47"/>
        <v>2296908.9500000002</v>
      </c>
      <c r="G352" s="52">
        <v>8781.14</v>
      </c>
      <c r="H352" s="51"/>
      <c r="I352" s="52">
        <v>2274024.69</v>
      </c>
      <c r="J352" s="51"/>
      <c r="K352" s="52">
        <v>14103.12</v>
      </c>
      <c r="L352" s="51"/>
      <c r="M352" s="52">
        <v>1450901.53</v>
      </c>
      <c r="N352" s="51"/>
      <c r="O352" s="52">
        <v>845977.42</v>
      </c>
      <c r="P352" s="51"/>
      <c r="Q352" s="52">
        <v>-30</v>
      </c>
      <c r="R352" s="49">
        <f t="shared" si="48"/>
        <v>60.000000000116415</v>
      </c>
      <c r="S352" s="77">
        <f t="shared" si="45"/>
        <v>1.1641532182693481E-10</v>
      </c>
    </row>
    <row r="353" spans="1:19" ht="12.75" customHeight="1" x14ac:dyDescent="0.25">
      <c r="A353" s="33"/>
      <c r="B353" s="16">
        <v>19</v>
      </c>
      <c r="C353" s="1" t="s">
        <v>148</v>
      </c>
      <c r="D353" s="1"/>
      <c r="G353" s="52"/>
      <c r="H353" s="51"/>
      <c r="I353" s="52"/>
      <c r="J353" s="51"/>
      <c r="K353" s="52"/>
      <c r="L353" s="51"/>
      <c r="M353" s="52"/>
      <c r="N353" s="51"/>
      <c r="O353" s="52"/>
      <c r="P353" s="51"/>
      <c r="Q353" s="52"/>
      <c r="R353" s="49"/>
      <c r="S353" s="77">
        <f t="shared" si="45"/>
        <v>0</v>
      </c>
    </row>
    <row r="354" spans="1:19" ht="12.75" customHeight="1" x14ac:dyDescent="0.25">
      <c r="A354" s="33"/>
      <c r="B354" s="16">
        <v>28</v>
      </c>
      <c r="C354" s="1"/>
      <c r="D354" s="1" t="s">
        <v>253</v>
      </c>
      <c r="E354" s="30">
        <f>SUM(G354:K354)</f>
        <v>32186.47</v>
      </c>
      <c r="G354" s="52"/>
      <c r="H354" s="51"/>
      <c r="I354" s="52">
        <v>32186.47</v>
      </c>
      <c r="J354" s="51"/>
      <c r="K354" s="52"/>
      <c r="L354" s="51"/>
      <c r="M354" s="52">
        <v>25221.06</v>
      </c>
      <c r="N354" s="51"/>
      <c r="O354" s="52">
        <v>6965.41</v>
      </c>
      <c r="P354" s="51"/>
      <c r="Q354" s="52"/>
      <c r="R354" s="49">
        <f t="shared" ref="R354:R364" si="49">E354-M354-O354-Q354</f>
        <v>0</v>
      </c>
      <c r="S354" s="77">
        <f t="shared" si="45"/>
        <v>0</v>
      </c>
    </row>
    <row r="355" spans="1:19" ht="12.75" customHeight="1" x14ac:dyDescent="0.25">
      <c r="A355" s="33"/>
      <c r="B355" s="16">
        <v>20</v>
      </c>
      <c r="C355" s="5"/>
      <c r="D355" s="5" t="s">
        <v>149</v>
      </c>
      <c r="E355" s="30">
        <f t="shared" ref="E355:E364" si="50">SUM(G355:K355)</f>
        <v>24632.3</v>
      </c>
      <c r="G355" s="52">
        <v>1097.55</v>
      </c>
      <c r="H355" s="51"/>
      <c r="I355" s="52"/>
      <c r="J355" s="51"/>
      <c r="K355" s="52">
        <v>23534.75</v>
      </c>
      <c r="L355" s="51"/>
      <c r="M355" s="52">
        <v>35680.379999999997</v>
      </c>
      <c r="N355" s="51"/>
      <c r="O355" s="52">
        <v>-11048.08</v>
      </c>
      <c r="P355" s="51"/>
      <c r="Q355" s="52"/>
      <c r="R355" s="49">
        <f t="shared" si="49"/>
        <v>1.8189894035458565E-12</v>
      </c>
      <c r="S355" s="77">
        <f t="shared" si="45"/>
        <v>1.8189894035458565E-12</v>
      </c>
    </row>
    <row r="356" spans="1:19" ht="12.75" customHeight="1" x14ac:dyDescent="0.25">
      <c r="A356" s="33"/>
      <c r="B356" s="16">
        <v>22</v>
      </c>
      <c r="C356" s="5"/>
      <c r="D356" s="5" t="s">
        <v>150</v>
      </c>
      <c r="E356" s="30">
        <f t="shared" si="50"/>
        <v>432157.25</v>
      </c>
      <c r="G356" s="52">
        <v>305533.2</v>
      </c>
      <c r="H356" s="51"/>
      <c r="I356" s="52">
        <v>126624.05</v>
      </c>
      <c r="J356" s="51"/>
      <c r="K356" s="52"/>
      <c r="L356" s="51"/>
      <c r="M356" s="52">
        <v>290392.25</v>
      </c>
      <c r="N356" s="51"/>
      <c r="O356" s="52">
        <v>141765</v>
      </c>
      <c r="P356" s="51"/>
      <c r="Q356" s="52"/>
      <c r="R356" s="49">
        <f t="shared" si="49"/>
        <v>0</v>
      </c>
      <c r="S356" s="77">
        <f t="shared" si="45"/>
        <v>0</v>
      </c>
    </row>
    <row r="357" spans="1:19" ht="12.75" customHeight="1" x14ac:dyDescent="0.25">
      <c r="A357" s="33"/>
      <c r="B357" s="16">
        <v>23</v>
      </c>
      <c r="C357" s="5"/>
      <c r="D357" s="5" t="s">
        <v>151</v>
      </c>
      <c r="E357" s="30">
        <f t="shared" si="50"/>
        <v>89802.78</v>
      </c>
      <c r="G357" s="52"/>
      <c r="H357" s="51"/>
      <c r="I357" s="52">
        <v>89802.78</v>
      </c>
      <c r="J357" s="51"/>
      <c r="K357" s="52"/>
      <c r="L357" s="51"/>
      <c r="M357" s="52">
        <v>69282.81</v>
      </c>
      <c r="N357" s="51"/>
      <c r="O357" s="52">
        <v>20519.97</v>
      </c>
      <c r="P357" s="51"/>
      <c r="Q357" s="52"/>
      <c r="R357" s="49">
        <f t="shared" si="49"/>
        <v>0</v>
      </c>
      <c r="S357" s="77">
        <f t="shared" si="45"/>
        <v>0</v>
      </c>
    </row>
    <row r="358" spans="1:19" ht="12.75" customHeight="1" x14ac:dyDescent="0.25">
      <c r="A358" s="33"/>
      <c r="B358" s="16">
        <v>24</v>
      </c>
      <c r="C358" s="5"/>
      <c r="D358" s="5" t="s">
        <v>152</v>
      </c>
      <c r="E358" s="30">
        <f t="shared" si="50"/>
        <v>0</v>
      </c>
      <c r="G358" s="52"/>
      <c r="H358" s="51"/>
      <c r="I358" s="52"/>
      <c r="J358" s="51"/>
      <c r="K358" s="52"/>
      <c r="L358" s="51"/>
      <c r="M358" s="52"/>
      <c r="N358" s="51"/>
      <c r="O358" s="52"/>
      <c r="P358" s="51"/>
      <c r="Q358" s="52"/>
      <c r="R358" s="49">
        <f t="shared" si="49"/>
        <v>0</v>
      </c>
      <c r="S358" s="77">
        <f t="shared" si="45"/>
        <v>0</v>
      </c>
    </row>
    <row r="359" spans="1:19" ht="12.75" customHeight="1" x14ac:dyDescent="0.25">
      <c r="A359" s="33"/>
      <c r="B359" s="16">
        <v>25</v>
      </c>
      <c r="C359" s="5"/>
      <c r="D359" s="5" t="s">
        <v>153</v>
      </c>
      <c r="E359" s="30">
        <f t="shared" si="50"/>
        <v>18160070</v>
      </c>
      <c r="G359" s="52">
        <v>8970.93</v>
      </c>
      <c r="H359" s="51"/>
      <c r="I359" s="52">
        <v>18072126.789999999</v>
      </c>
      <c r="J359" s="51"/>
      <c r="K359" s="52">
        <v>78972.28</v>
      </c>
      <c r="L359" s="51"/>
      <c r="M359" s="52">
        <v>7466838.8399999999</v>
      </c>
      <c r="N359" s="51"/>
      <c r="O359" s="52">
        <v>10733533.189999999</v>
      </c>
      <c r="P359" s="51"/>
      <c r="Q359" s="52">
        <v>40302.03</v>
      </c>
      <c r="R359" s="49">
        <f t="shared" si="49"/>
        <v>-80604.059999999328</v>
      </c>
      <c r="S359" s="77">
        <f t="shared" si="45"/>
        <v>6.6938810050487518E-10</v>
      </c>
    </row>
    <row r="360" spans="1:19" ht="12.75" customHeight="1" x14ac:dyDescent="0.25">
      <c r="A360" s="33"/>
      <c r="B360" s="16">
        <v>27</v>
      </c>
      <c r="C360" s="5"/>
      <c r="D360" s="73" t="s">
        <v>299</v>
      </c>
      <c r="E360" s="30">
        <f t="shared" ref="E360" si="51">SUM(G360:K360)</f>
        <v>44193.919999999998</v>
      </c>
      <c r="G360" s="52"/>
      <c r="H360" s="51"/>
      <c r="I360" s="52">
        <v>44193.919999999998</v>
      </c>
      <c r="J360" s="51"/>
      <c r="K360" s="52"/>
      <c r="L360" s="51"/>
      <c r="M360" s="52"/>
      <c r="N360" s="51"/>
      <c r="O360" s="52">
        <v>44193.919999999998</v>
      </c>
      <c r="P360" s="51"/>
      <c r="Q360" s="52"/>
      <c r="R360" s="49">
        <f t="shared" ref="R360" si="52">E360-M360-O360-Q360</f>
        <v>0</v>
      </c>
      <c r="S360" s="77">
        <f t="shared" ref="S360" si="53">E360-M360-O360+Q360</f>
        <v>0</v>
      </c>
    </row>
    <row r="361" spans="1:19" ht="12.75" customHeight="1" x14ac:dyDescent="0.25">
      <c r="A361" s="33"/>
      <c r="B361" s="16">
        <v>26</v>
      </c>
      <c r="C361" s="5"/>
      <c r="D361" s="5" t="s">
        <v>154</v>
      </c>
      <c r="E361" s="30">
        <f t="shared" si="50"/>
        <v>4704288.8000000007</v>
      </c>
      <c r="G361" s="52">
        <v>4226853.7</v>
      </c>
      <c r="H361" s="51"/>
      <c r="I361" s="52">
        <v>467232.11</v>
      </c>
      <c r="J361" s="51"/>
      <c r="K361" s="52">
        <v>10202.99</v>
      </c>
      <c r="L361" s="51"/>
      <c r="M361" s="52">
        <v>2438871.62</v>
      </c>
      <c r="N361" s="51"/>
      <c r="O361" s="52">
        <v>2260020.1800000002</v>
      </c>
      <c r="P361" s="51"/>
      <c r="Q361" s="52">
        <v>-5397</v>
      </c>
      <c r="R361" s="49">
        <f t="shared" si="49"/>
        <v>10794.000000000466</v>
      </c>
      <c r="S361" s="77">
        <f t="shared" si="45"/>
        <v>4.6566128730773926E-10</v>
      </c>
    </row>
    <row r="362" spans="1:19" ht="12.75" customHeight="1" x14ac:dyDescent="0.25">
      <c r="A362" s="33"/>
      <c r="B362" s="16">
        <v>27</v>
      </c>
      <c r="C362" s="5"/>
      <c r="D362" s="5" t="s">
        <v>155</v>
      </c>
      <c r="E362" s="30">
        <f t="shared" si="50"/>
        <v>743742.68</v>
      </c>
      <c r="G362" s="52">
        <v>13482.25</v>
      </c>
      <c r="H362" s="51"/>
      <c r="I362" s="52">
        <v>690049.63</v>
      </c>
      <c r="J362" s="51"/>
      <c r="K362" s="52">
        <v>40210.800000000003</v>
      </c>
      <c r="L362" s="51"/>
      <c r="M362" s="52">
        <v>465833.76</v>
      </c>
      <c r="N362" s="51"/>
      <c r="O362" s="52">
        <v>277508.92</v>
      </c>
      <c r="P362" s="51"/>
      <c r="Q362" s="52">
        <v>-400</v>
      </c>
      <c r="R362" s="49">
        <f t="shared" si="49"/>
        <v>800.00000000005821</v>
      </c>
      <c r="S362" s="77">
        <f t="shared" si="45"/>
        <v>5.8207660913467407E-11</v>
      </c>
    </row>
    <row r="363" spans="1:19" ht="12.75" customHeight="1" x14ac:dyDescent="0.25">
      <c r="A363" s="33"/>
      <c r="B363" s="16">
        <v>29</v>
      </c>
      <c r="C363" s="1" t="s">
        <v>156</v>
      </c>
      <c r="D363" s="1"/>
      <c r="E363" s="30">
        <f t="shared" si="50"/>
        <v>78332.460000000006</v>
      </c>
      <c r="G363" s="52">
        <v>50139.3</v>
      </c>
      <c r="H363" s="51"/>
      <c r="I363" s="52">
        <v>28193.16</v>
      </c>
      <c r="J363" s="51"/>
      <c r="K363" s="52"/>
      <c r="L363" s="51"/>
      <c r="M363" s="52">
        <v>21693.68</v>
      </c>
      <c r="N363" s="51"/>
      <c r="O363" s="52">
        <v>55792.78</v>
      </c>
      <c r="P363" s="51"/>
      <c r="Q363" s="52">
        <v>-846</v>
      </c>
      <c r="R363" s="49">
        <f t="shared" si="49"/>
        <v>1692.0000000000073</v>
      </c>
      <c r="S363" s="77">
        <f t="shared" si="45"/>
        <v>7.2759576141834259E-12</v>
      </c>
    </row>
    <row r="364" spans="1:19" ht="12.75" customHeight="1" x14ac:dyDescent="0.25">
      <c r="A364" s="33"/>
      <c r="B364" s="16">
        <v>30</v>
      </c>
      <c r="C364" s="1" t="s">
        <v>100</v>
      </c>
      <c r="D364" s="1"/>
      <c r="E364" s="30">
        <f t="shared" si="50"/>
        <v>12966.170000000002</v>
      </c>
      <c r="G364" s="52">
        <v>-1853.58</v>
      </c>
      <c r="H364" s="51"/>
      <c r="I364" s="52">
        <v>25744.27</v>
      </c>
      <c r="J364" s="51"/>
      <c r="K364" s="52">
        <v>-10924.52</v>
      </c>
      <c r="L364" s="51"/>
      <c r="M364" s="52">
        <v>32904.980000000003</v>
      </c>
      <c r="N364" s="51"/>
      <c r="O364" s="52">
        <v>-19938.810000000001</v>
      </c>
      <c r="P364" s="51"/>
      <c r="Q364" s="52"/>
      <c r="R364" s="49">
        <f t="shared" si="49"/>
        <v>0</v>
      </c>
      <c r="S364" s="77">
        <f t="shared" si="45"/>
        <v>0</v>
      </c>
    </row>
    <row r="365" spans="1:19" ht="12.75" customHeight="1" x14ac:dyDescent="0.25">
      <c r="A365" s="33"/>
      <c r="B365" s="16">
        <v>31</v>
      </c>
      <c r="C365" s="1" t="s">
        <v>101</v>
      </c>
      <c r="D365" s="1"/>
      <c r="E365" s="54">
        <f>G365+I365+K365</f>
        <v>0</v>
      </c>
      <c r="G365" s="53">
        <v>-639537.30000000005</v>
      </c>
      <c r="H365" s="51"/>
      <c r="I365" s="53">
        <v>639537.30000000005</v>
      </c>
      <c r="J365" s="51"/>
      <c r="K365" s="53"/>
      <c r="L365" s="51"/>
      <c r="M365" s="53"/>
      <c r="N365" s="51"/>
      <c r="O365" s="53"/>
      <c r="P365" s="51"/>
      <c r="Q365" s="53"/>
      <c r="R365" s="49">
        <f>E365-M365-O365-Q365</f>
        <v>0</v>
      </c>
      <c r="S365" s="77">
        <f t="shared" si="45"/>
        <v>0</v>
      </c>
    </row>
    <row r="366" spans="1:19" ht="12.75" customHeight="1" x14ac:dyDescent="0.25">
      <c r="A366" s="33"/>
    </row>
    <row r="367" spans="1:19" ht="12.75" customHeight="1" x14ac:dyDescent="0.25">
      <c r="A367" s="5"/>
      <c r="B367" s="5"/>
      <c r="C367" s="5"/>
      <c r="D367" s="1" t="s">
        <v>157</v>
      </c>
      <c r="E367" s="6">
        <f>SUM(E333:E365)</f>
        <v>83847396.980000019</v>
      </c>
      <c r="G367" s="6">
        <f>SUM(G333:G365)</f>
        <v>4603194.83</v>
      </c>
      <c r="I367" s="6">
        <f>SUM(I333:I365)</f>
        <v>77496301.339999974</v>
      </c>
      <c r="K367" s="6">
        <f>SUM(K333:K365)</f>
        <v>1747900.81</v>
      </c>
      <c r="M367" s="6">
        <f>SUM(M333:M365)</f>
        <v>42062353.499999993</v>
      </c>
      <c r="O367" s="6">
        <f>SUM(O333:O365)</f>
        <v>42060238.590000011</v>
      </c>
      <c r="Q367" s="6">
        <f>SUM(Q333:Q365)</f>
        <v>275195.11</v>
      </c>
      <c r="R367" s="49">
        <f>E367-M367-O367-Q367</f>
        <v>-550390.21999998449</v>
      </c>
      <c r="S367" s="77">
        <f>E367-M367-O367+Q367</f>
        <v>1.548323780298233E-8</v>
      </c>
    </row>
    <row r="368" spans="1:19" ht="12.75" customHeight="1" x14ac:dyDescent="0.25">
      <c r="A368" s="1"/>
      <c r="E368" s="34"/>
      <c r="G368" s="80"/>
      <c r="I368" s="34"/>
      <c r="K368" s="80"/>
      <c r="M368" s="34"/>
      <c r="O368" s="34"/>
      <c r="Q368" s="34"/>
    </row>
    <row r="369" spans="1:19" ht="12.75" customHeight="1" x14ac:dyDescent="0.25">
      <c r="A369" s="31" t="s">
        <v>158</v>
      </c>
    </row>
    <row r="370" spans="1:19" ht="12.75" customHeight="1" x14ac:dyDescent="0.25">
      <c r="A370" s="33"/>
    </row>
    <row r="371" spans="1:19" ht="12.75" customHeight="1" x14ac:dyDescent="0.25">
      <c r="B371" s="16">
        <v>1</v>
      </c>
      <c r="C371" s="33" t="s">
        <v>159</v>
      </c>
      <c r="D371" s="33"/>
      <c r="E371" s="30">
        <f>SUM(G371:K371)</f>
        <v>2249330.9300000002</v>
      </c>
      <c r="G371" s="52">
        <v>2108823.4500000002</v>
      </c>
      <c r="H371" s="51"/>
      <c r="I371" s="52">
        <v>140507.48000000001</v>
      </c>
      <c r="J371" s="51"/>
      <c r="K371" s="52"/>
      <c r="L371" s="51"/>
      <c r="M371" s="52">
        <v>1236485.1299999999</v>
      </c>
      <c r="N371" s="51"/>
      <c r="O371" s="52">
        <v>1011483.3</v>
      </c>
      <c r="P371" s="51"/>
      <c r="Q371" s="52">
        <v>-1362.5</v>
      </c>
      <c r="R371" s="49">
        <f>E371-M371-O371-Q371</f>
        <v>2725.0000000002328</v>
      </c>
      <c r="S371" s="77">
        <f t="shared" ref="S371:S416" si="54">E371-M371-O371+Q371</f>
        <v>2.3283064365386963E-10</v>
      </c>
    </row>
    <row r="372" spans="1:19" ht="12.75" customHeight="1" x14ac:dyDescent="0.25">
      <c r="B372" s="16">
        <v>2</v>
      </c>
      <c r="C372" s="1" t="s">
        <v>228</v>
      </c>
      <c r="D372" s="1"/>
      <c r="E372" s="30">
        <f>SUM(G372:K372)</f>
        <v>2071791.19</v>
      </c>
      <c r="G372" s="52">
        <v>2056738.73</v>
      </c>
      <c r="H372" s="51"/>
      <c r="I372" s="52">
        <v>15052.46</v>
      </c>
      <c r="J372" s="51"/>
      <c r="K372" s="52"/>
      <c r="L372" s="51"/>
      <c r="M372" s="52">
        <v>1433213.93</v>
      </c>
      <c r="N372" s="51"/>
      <c r="O372" s="52">
        <v>638517.26</v>
      </c>
      <c r="P372" s="51"/>
      <c r="Q372" s="52">
        <v>-60</v>
      </c>
      <c r="R372" s="49">
        <f>E372-M372-O372-Q372</f>
        <v>120</v>
      </c>
      <c r="S372" s="77">
        <f t="shared" si="54"/>
        <v>0</v>
      </c>
    </row>
    <row r="373" spans="1:19" ht="12.75" customHeight="1" x14ac:dyDescent="0.25">
      <c r="C373" s="1" t="s">
        <v>258</v>
      </c>
      <c r="D373" s="1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S373" s="77">
        <f t="shared" si="54"/>
        <v>0</v>
      </c>
    </row>
    <row r="374" spans="1:19" ht="12.75" customHeight="1" x14ac:dyDescent="0.25">
      <c r="C374" s="1"/>
      <c r="D374" s="1" t="s">
        <v>259</v>
      </c>
      <c r="E374" s="30">
        <f>SUM(G374:K374)</f>
        <v>1014688.46</v>
      </c>
      <c r="G374" s="52">
        <v>887270.02</v>
      </c>
      <c r="H374" s="51"/>
      <c r="I374" s="52">
        <v>127418.44</v>
      </c>
      <c r="J374" s="51"/>
      <c r="K374" s="52"/>
      <c r="L374" s="51"/>
      <c r="M374" s="52">
        <v>460516.61</v>
      </c>
      <c r="N374" s="51"/>
      <c r="O374" s="52">
        <v>553891.85</v>
      </c>
      <c r="P374" s="51"/>
      <c r="Q374" s="52">
        <v>-280</v>
      </c>
      <c r="R374" s="49">
        <f>E374-M374-O374-Q374</f>
        <v>560</v>
      </c>
      <c r="S374" s="77">
        <f t="shared" si="54"/>
        <v>0</v>
      </c>
    </row>
    <row r="375" spans="1:19" ht="12.75" customHeight="1" x14ac:dyDescent="0.25">
      <c r="B375" s="16">
        <v>3</v>
      </c>
      <c r="C375" s="1" t="s">
        <v>160</v>
      </c>
      <c r="D375" s="1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S375" s="77">
        <f t="shared" si="54"/>
        <v>0</v>
      </c>
    </row>
    <row r="376" spans="1:19" ht="12.75" customHeight="1" x14ac:dyDescent="0.25">
      <c r="B376" s="16">
        <v>4</v>
      </c>
      <c r="C376" s="5"/>
      <c r="D376" s="1" t="s">
        <v>142</v>
      </c>
      <c r="E376" s="30">
        <f>SUM(G376:K376)</f>
        <v>1960777.4300000002</v>
      </c>
      <c r="G376" s="52">
        <v>1059847.8400000001</v>
      </c>
      <c r="H376" s="51"/>
      <c r="I376" s="52">
        <v>850088.75</v>
      </c>
      <c r="J376" s="51"/>
      <c r="K376" s="52">
        <v>50840.84</v>
      </c>
      <c r="L376" s="51"/>
      <c r="M376" s="52">
        <v>469688.09</v>
      </c>
      <c r="N376" s="51"/>
      <c r="O376" s="52">
        <v>1519358.66</v>
      </c>
      <c r="P376" s="51"/>
      <c r="Q376" s="52">
        <v>28269.32</v>
      </c>
      <c r="R376" s="49">
        <f>E376-M376-O376-Q376</f>
        <v>-56538.639999999832</v>
      </c>
      <c r="S376" s="77">
        <f t="shared" si="54"/>
        <v>1.673470251262188E-10</v>
      </c>
    </row>
    <row r="377" spans="1:19" ht="12.75" customHeight="1" x14ac:dyDescent="0.25">
      <c r="B377" s="16">
        <v>5</v>
      </c>
      <c r="C377" s="1" t="s">
        <v>161</v>
      </c>
      <c r="D377" s="1"/>
      <c r="P377" s="37"/>
      <c r="S377" s="77">
        <f t="shared" si="54"/>
        <v>0</v>
      </c>
    </row>
    <row r="378" spans="1:19" ht="12.75" customHeight="1" x14ac:dyDescent="0.25">
      <c r="B378" s="16">
        <v>6</v>
      </c>
      <c r="C378" s="5"/>
      <c r="D378" s="1" t="s">
        <v>162</v>
      </c>
      <c r="E378" s="30">
        <f>SUM(G378:K378)</f>
        <v>2408768.12</v>
      </c>
      <c r="G378" s="52">
        <v>1623660.71</v>
      </c>
      <c r="H378" s="51"/>
      <c r="I378" s="52">
        <v>421301.08</v>
      </c>
      <c r="J378" s="51"/>
      <c r="K378" s="52">
        <v>363806.33</v>
      </c>
      <c r="L378" s="51"/>
      <c r="M378" s="52">
        <v>948630.05</v>
      </c>
      <c r="N378" s="51"/>
      <c r="O378" s="52">
        <v>1454272.07</v>
      </c>
      <c r="P378" s="51"/>
      <c r="Q378" s="52">
        <v>-5866</v>
      </c>
      <c r="R378" s="49">
        <f>E378-M378-O378-Q378</f>
        <v>11732</v>
      </c>
      <c r="S378" s="77">
        <f t="shared" si="54"/>
        <v>0</v>
      </c>
    </row>
    <row r="379" spans="1:19" ht="12.75" customHeight="1" x14ac:dyDescent="0.25">
      <c r="B379" s="16">
        <v>7</v>
      </c>
      <c r="C379" s="1" t="s">
        <v>163</v>
      </c>
      <c r="D379" s="1"/>
      <c r="E379" s="30">
        <f t="shared" ref="E379:E396" si="55">SUM(G379:K379)</f>
        <v>605714.49000000011</v>
      </c>
      <c r="G379" s="52">
        <v>602079.43000000005</v>
      </c>
      <c r="H379" s="51"/>
      <c r="I379" s="52">
        <v>2993.06</v>
      </c>
      <c r="J379" s="51"/>
      <c r="K379" s="52">
        <v>642</v>
      </c>
      <c r="L379" s="51"/>
      <c r="M379" s="52">
        <v>392103.61</v>
      </c>
      <c r="N379" s="51"/>
      <c r="O379" s="52">
        <v>213610.88</v>
      </c>
      <c r="P379" s="51"/>
      <c r="Q379" s="52"/>
      <c r="R379" s="49">
        <f t="shared" ref="R379:R396" si="56">E379-M379-O379-Q379</f>
        <v>1.1641532182693481E-10</v>
      </c>
      <c r="S379" s="77">
        <f t="shared" si="54"/>
        <v>1.1641532182693481E-10</v>
      </c>
    </row>
    <row r="380" spans="1:19" ht="12.75" customHeight="1" x14ac:dyDescent="0.25">
      <c r="B380" s="16">
        <v>8</v>
      </c>
      <c r="C380" s="1" t="s">
        <v>164</v>
      </c>
      <c r="D380" s="1"/>
      <c r="E380" s="30">
        <f t="shared" si="55"/>
        <v>1379373.16</v>
      </c>
      <c r="G380" s="52">
        <v>1377832.64</v>
      </c>
      <c r="H380" s="51"/>
      <c r="I380" s="52">
        <v>1540.52</v>
      </c>
      <c r="J380" s="51"/>
      <c r="K380" s="52"/>
      <c r="L380" s="51"/>
      <c r="M380" s="52">
        <v>985072.55</v>
      </c>
      <c r="N380" s="51"/>
      <c r="O380" s="52">
        <v>394300.61</v>
      </c>
      <c r="P380" s="51"/>
      <c r="Q380" s="52"/>
      <c r="R380" s="49">
        <f t="shared" si="56"/>
        <v>-1.1641532182693481E-10</v>
      </c>
      <c r="S380" s="77">
        <f t="shared" si="54"/>
        <v>-1.1641532182693481E-10</v>
      </c>
    </row>
    <row r="381" spans="1:19" ht="12.75" customHeight="1" x14ac:dyDescent="0.25">
      <c r="C381" s="1" t="s">
        <v>244</v>
      </c>
      <c r="D381" s="1"/>
      <c r="E381" s="30">
        <f t="shared" si="55"/>
        <v>33844.49</v>
      </c>
      <c r="G381" s="52">
        <v>6820.07</v>
      </c>
      <c r="H381" s="51"/>
      <c r="I381" s="52">
        <v>27024.42</v>
      </c>
      <c r="J381" s="51"/>
      <c r="K381" s="52"/>
      <c r="L381" s="51"/>
      <c r="M381" s="52"/>
      <c r="N381" s="51"/>
      <c r="O381" s="52">
        <v>33844.49</v>
      </c>
      <c r="P381" s="51"/>
      <c r="Q381" s="52"/>
      <c r="R381" s="49">
        <f t="shared" si="56"/>
        <v>0</v>
      </c>
      <c r="S381" s="77">
        <f t="shared" si="54"/>
        <v>0</v>
      </c>
    </row>
    <row r="382" spans="1:19" ht="12.75" customHeight="1" x14ac:dyDescent="0.25">
      <c r="B382" s="16">
        <v>9</v>
      </c>
      <c r="C382" s="1" t="s">
        <v>242</v>
      </c>
      <c r="D382" s="1"/>
      <c r="E382" s="30">
        <f t="shared" si="55"/>
        <v>3318245.2</v>
      </c>
      <c r="G382" s="52">
        <v>2415217.2799999998</v>
      </c>
      <c r="H382" s="51"/>
      <c r="I382" s="52">
        <v>898372.22</v>
      </c>
      <c r="J382" s="51"/>
      <c r="K382" s="52">
        <v>4655.7</v>
      </c>
      <c r="L382" s="51"/>
      <c r="M382" s="52">
        <v>1993114.11</v>
      </c>
      <c r="N382" s="51"/>
      <c r="O382" s="52">
        <v>1828726.09</v>
      </c>
      <c r="P382" s="51"/>
      <c r="Q382" s="52">
        <v>503595</v>
      </c>
      <c r="R382" s="49">
        <f t="shared" si="56"/>
        <v>-1007190</v>
      </c>
      <c r="S382" s="77">
        <f t="shared" si="54"/>
        <v>0</v>
      </c>
    </row>
    <row r="383" spans="1:19" ht="12.75" customHeight="1" x14ac:dyDescent="0.25">
      <c r="B383" s="16">
        <v>10</v>
      </c>
      <c r="C383" s="1" t="s">
        <v>165</v>
      </c>
      <c r="D383" s="1"/>
      <c r="E383" s="30">
        <f t="shared" si="55"/>
        <v>2841.53</v>
      </c>
      <c r="G383" s="52">
        <v>2841.53</v>
      </c>
      <c r="H383" s="51"/>
      <c r="I383" s="52"/>
      <c r="J383" s="51"/>
      <c r="K383" s="52"/>
      <c r="L383" s="51"/>
      <c r="M383" s="52"/>
      <c r="N383" s="51"/>
      <c r="O383" s="52">
        <v>2841.53</v>
      </c>
      <c r="P383" s="51"/>
      <c r="Q383" s="52"/>
      <c r="R383" s="49">
        <f t="shared" si="56"/>
        <v>0</v>
      </c>
      <c r="S383" s="77">
        <f t="shared" si="54"/>
        <v>0</v>
      </c>
    </row>
    <row r="384" spans="1:19" ht="12.75" customHeight="1" x14ac:dyDescent="0.25">
      <c r="B384" s="16">
        <v>11</v>
      </c>
      <c r="C384" s="1" t="s">
        <v>166</v>
      </c>
      <c r="D384" s="1"/>
      <c r="E384" s="30">
        <f t="shared" si="55"/>
        <v>2721120.82</v>
      </c>
      <c r="G384" s="52">
        <f>407283.92+13252.17</f>
        <v>420536.08999999997</v>
      </c>
      <c r="H384" s="51"/>
      <c r="I384" s="52">
        <f>572320.15+1692662.82</f>
        <v>2264982.9700000002</v>
      </c>
      <c r="J384" s="51"/>
      <c r="K384" s="52">
        <f>34110.01+1491.75</f>
        <v>35601.760000000002</v>
      </c>
      <c r="L384" s="51"/>
      <c r="M384" s="52">
        <f>669152.93+355877.16</f>
        <v>1025030.0900000001</v>
      </c>
      <c r="N384" s="51"/>
      <c r="O384" s="52">
        <f>422659.65+1310043.88</f>
        <v>1732703.5299999998</v>
      </c>
      <c r="P384" s="51"/>
      <c r="Q384" s="52">
        <f>78098.5-41485.7</f>
        <v>36612.800000000003</v>
      </c>
      <c r="R384" s="49">
        <f t="shared" si="56"/>
        <v>-73225.600000000049</v>
      </c>
      <c r="S384" s="77">
        <f t="shared" si="54"/>
        <v>0</v>
      </c>
    </row>
    <row r="385" spans="2:19" ht="12.75" customHeight="1" x14ac:dyDescent="0.25">
      <c r="B385" s="16">
        <v>12</v>
      </c>
      <c r="C385" s="1" t="s">
        <v>167</v>
      </c>
      <c r="D385" s="1"/>
      <c r="E385" s="30">
        <f t="shared" si="55"/>
        <v>76820.38</v>
      </c>
      <c r="G385" s="52">
        <v>76809.83</v>
      </c>
      <c r="H385" s="51"/>
      <c r="I385" s="52">
        <v>10.55</v>
      </c>
      <c r="J385" s="51"/>
      <c r="K385" s="52"/>
      <c r="L385" s="51"/>
      <c r="M385" s="52"/>
      <c r="N385" s="51"/>
      <c r="O385" s="52">
        <v>76820.38</v>
      </c>
      <c r="P385" s="51"/>
      <c r="Q385" s="52"/>
      <c r="R385" s="49">
        <f t="shared" si="56"/>
        <v>0</v>
      </c>
      <c r="S385" s="77">
        <f t="shared" si="54"/>
        <v>0</v>
      </c>
    </row>
    <row r="386" spans="2:19" ht="12.75" customHeight="1" x14ac:dyDescent="0.25">
      <c r="B386" s="16">
        <v>13</v>
      </c>
      <c r="C386" s="1" t="s">
        <v>236</v>
      </c>
      <c r="D386" s="1"/>
      <c r="E386" s="30">
        <f>SUM(G386:K386)</f>
        <v>830881.73</v>
      </c>
      <c r="G386" s="52">
        <v>478083.22</v>
      </c>
      <c r="H386" s="51"/>
      <c r="I386" s="52">
        <v>352798.51</v>
      </c>
      <c r="J386" s="51"/>
      <c r="K386" s="52"/>
      <c r="L386" s="51"/>
      <c r="M386" s="52">
        <v>545048.93999999994</v>
      </c>
      <c r="N386" s="51"/>
      <c r="O386" s="52">
        <v>285832.78999999998</v>
      </c>
      <c r="P386" s="51"/>
      <c r="Q386" s="52"/>
      <c r="R386" s="49">
        <f t="shared" si="56"/>
        <v>5.8207660913467407E-11</v>
      </c>
      <c r="S386" s="77">
        <f t="shared" si="54"/>
        <v>5.8207660913467407E-11</v>
      </c>
    </row>
    <row r="387" spans="2:19" ht="12.75" customHeight="1" x14ac:dyDescent="0.25">
      <c r="B387" s="16">
        <v>15</v>
      </c>
      <c r="C387" s="1" t="s">
        <v>168</v>
      </c>
      <c r="D387" s="1"/>
      <c r="E387" s="30">
        <f t="shared" si="55"/>
        <v>609785.65</v>
      </c>
      <c r="G387" s="52">
        <v>423477</v>
      </c>
      <c r="H387" s="51"/>
      <c r="I387" s="52">
        <v>185438.87</v>
      </c>
      <c r="J387" s="51"/>
      <c r="K387" s="52">
        <v>869.78</v>
      </c>
      <c r="L387" s="51"/>
      <c r="M387" s="52">
        <v>357792.32</v>
      </c>
      <c r="N387" s="51"/>
      <c r="O387" s="52">
        <v>400907.33</v>
      </c>
      <c r="P387" s="51"/>
      <c r="Q387" s="52">
        <v>148914</v>
      </c>
      <c r="R387" s="49">
        <f t="shared" si="56"/>
        <v>-297828</v>
      </c>
      <c r="S387" s="77">
        <f t="shared" si="54"/>
        <v>0</v>
      </c>
    </row>
    <row r="388" spans="2:19" ht="12.75" customHeight="1" x14ac:dyDescent="0.25">
      <c r="B388" s="16">
        <v>16</v>
      </c>
      <c r="C388" s="1" t="s">
        <v>169</v>
      </c>
      <c r="D388" s="1"/>
      <c r="E388" s="30">
        <f t="shared" si="55"/>
        <v>2780373.85</v>
      </c>
      <c r="G388" s="52">
        <v>2775021.18</v>
      </c>
      <c r="H388" s="51"/>
      <c r="I388" s="52">
        <v>5352.67</v>
      </c>
      <c r="J388" s="51"/>
      <c r="K388" s="52"/>
      <c r="L388" s="51"/>
      <c r="M388" s="52">
        <v>1830953.98</v>
      </c>
      <c r="N388" s="51"/>
      <c r="O388" s="52">
        <v>949419.87</v>
      </c>
      <c r="P388" s="51"/>
      <c r="Q388" s="52"/>
      <c r="R388" s="49">
        <f t="shared" si="56"/>
        <v>1.1641532182693481E-10</v>
      </c>
      <c r="S388" s="77">
        <f t="shared" si="54"/>
        <v>1.1641532182693481E-10</v>
      </c>
    </row>
    <row r="389" spans="2:19" ht="12.75" customHeight="1" x14ac:dyDescent="0.25">
      <c r="B389" s="16">
        <v>17</v>
      </c>
      <c r="C389" s="1" t="s">
        <v>224</v>
      </c>
      <c r="D389" s="1"/>
      <c r="E389" s="30">
        <f t="shared" si="55"/>
        <v>-816516.06</v>
      </c>
      <c r="G389" s="52">
        <v>411641.99</v>
      </c>
      <c r="H389" s="51"/>
      <c r="I389" s="52">
        <v>-1228158.05</v>
      </c>
      <c r="J389" s="51"/>
      <c r="K389" s="52"/>
      <c r="L389" s="51"/>
      <c r="M389" s="52">
        <v>183381.6</v>
      </c>
      <c r="N389" s="51"/>
      <c r="O389" s="52">
        <v>297868.52</v>
      </c>
      <c r="P389" s="51"/>
      <c r="Q389" s="52">
        <v>1297766.18</v>
      </c>
      <c r="R389" s="49">
        <f t="shared" si="56"/>
        <v>-2595532.3600000003</v>
      </c>
      <c r="S389" s="77">
        <f t="shared" si="54"/>
        <v>0</v>
      </c>
    </row>
    <row r="390" spans="2:19" ht="12.75" customHeight="1" x14ac:dyDescent="0.25">
      <c r="B390" s="16">
        <v>18</v>
      </c>
      <c r="C390" s="1" t="s">
        <v>289</v>
      </c>
      <c r="D390" s="1"/>
      <c r="E390" s="30">
        <f>SUM(G390:K390)</f>
        <v>-22813454.43</v>
      </c>
      <c r="G390" s="52">
        <v>1804410</v>
      </c>
      <c r="H390" s="51"/>
      <c r="I390" s="52">
        <f>-9085018.43-15532846</f>
        <v>-24617864.43</v>
      </c>
      <c r="J390" s="51"/>
      <c r="K390" s="52"/>
      <c r="L390" s="51"/>
      <c r="M390" s="52"/>
      <c r="N390" s="51"/>
      <c r="O390" s="52">
        <f>17313148.63-15532846</f>
        <v>1780302.629999999</v>
      </c>
      <c r="P390" s="51"/>
      <c r="Q390" s="52">
        <v>24593757.059999999</v>
      </c>
      <c r="R390" s="71">
        <f>E390-M390-O390-Q390</f>
        <v>-49187514.119999997</v>
      </c>
      <c r="S390" s="78">
        <f t="shared" si="54"/>
        <v>0</v>
      </c>
    </row>
    <row r="391" spans="2:19" ht="12.75" customHeight="1" x14ac:dyDescent="0.25">
      <c r="B391" s="16">
        <v>18</v>
      </c>
      <c r="C391" s="1" t="s">
        <v>225</v>
      </c>
      <c r="D391" s="1"/>
      <c r="E391" s="30">
        <f t="shared" si="55"/>
        <v>206135.63999999998</v>
      </c>
      <c r="G391" s="52">
        <v>190750.68</v>
      </c>
      <c r="H391" s="51"/>
      <c r="I391" s="52">
        <v>15384.96</v>
      </c>
      <c r="J391" s="51"/>
      <c r="K391" s="52"/>
      <c r="L391" s="51"/>
      <c r="M391" s="52">
        <v>184799.67</v>
      </c>
      <c r="N391" s="51"/>
      <c r="O391" s="52">
        <v>122974.42</v>
      </c>
      <c r="P391" s="51"/>
      <c r="Q391" s="52">
        <v>101638.45</v>
      </c>
      <c r="R391" s="49">
        <f t="shared" si="56"/>
        <v>-203276.90000000002</v>
      </c>
      <c r="S391" s="77">
        <f t="shared" si="54"/>
        <v>0</v>
      </c>
    </row>
    <row r="392" spans="2:19" ht="12.75" customHeight="1" x14ac:dyDescent="0.25">
      <c r="B392" s="16">
        <v>19</v>
      </c>
      <c r="C392" s="1" t="s">
        <v>173</v>
      </c>
      <c r="D392" s="1"/>
      <c r="E392" s="30">
        <f t="shared" si="55"/>
        <v>121562.79000000001</v>
      </c>
      <c r="G392" s="52">
        <v>23630.63</v>
      </c>
      <c r="H392" s="51"/>
      <c r="I392" s="52">
        <v>97932.160000000003</v>
      </c>
      <c r="J392" s="51"/>
      <c r="K392" s="52"/>
      <c r="L392" s="51"/>
      <c r="M392" s="52">
        <v>58956.62</v>
      </c>
      <c r="N392" s="51"/>
      <c r="O392" s="52">
        <v>62193.67</v>
      </c>
      <c r="P392" s="51"/>
      <c r="Q392" s="52">
        <v>-412.5</v>
      </c>
      <c r="R392" s="49">
        <f t="shared" si="56"/>
        <v>825.00000000000728</v>
      </c>
      <c r="S392" s="77">
        <f t="shared" si="54"/>
        <v>7.2759576141834259E-12</v>
      </c>
    </row>
    <row r="393" spans="2:19" ht="12.75" customHeight="1" x14ac:dyDescent="0.25">
      <c r="B393" s="16">
        <v>20</v>
      </c>
      <c r="C393" s="1" t="s">
        <v>221</v>
      </c>
      <c r="D393" s="1"/>
      <c r="E393" s="30">
        <f t="shared" si="55"/>
        <v>270303.65000000002</v>
      </c>
      <c r="G393" s="52">
        <v>244838.13</v>
      </c>
      <c r="H393" s="51"/>
      <c r="I393" s="52">
        <v>25465.52</v>
      </c>
      <c r="J393" s="51"/>
      <c r="K393" s="52"/>
      <c r="L393" s="51"/>
      <c r="M393" s="52">
        <v>177902.64</v>
      </c>
      <c r="N393" s="51"/>
      <c r="O393" s="52">
        <v>92881.01</v>
      </c>
      <c r="P393" s="51"/>
      <c r="Q393" s="52">
        <v>480</v>
      </c>
      <c r="R393" s="49">
        <f t="shared" si="56"/>
        <v>-959.99999999998545</v>
      </c>
      <c r="S393" s="77">
        <f t="shared" si="54"/>
        <v>1.4551915228366852E-11</v>
      </c>
    </row>
    <row r="394" spans="2:19" ht="12.75" customHeight="1" x14ac:dyDescent="0.25">
      <c r="B394" s="16">
        <v>21</v>
      </c>
      <c r="C394" s="1" t="s">
        <v>174</v>
      </c>
      <c r="D394" s="1"/>
      <c r="E394" s="30">
        <f t="shared" si="55"/>
        <v>9121763.6999999993</v>
      </c>
      <c r="G394" s="52">
        <v>106565.86</v>
      </c>
      <c r="H394" s="51"/>
      <c r="I394" s="52">
        <v>8825571.8000000007</v>
      </c>
      <c r="J394" s="51"/>
      <c r="K394" s="52">
        <v>189626.04</v>
      </c>
      <c r="L394" s="51"/>
      <c r="M394" s="52">
        <v>5317502.83</v>
      </c>
      <c r="N394" s="51"/>
      <c r="O394" s="52">
        <v>3782759.2</v>
      </c>
      <c r="P394" s="51"/>
      <c r="Q394" s="52">
        <v>-21501.67</v>
      </c>
      <c r="R394" s="49">
        <f t="shared" si="56"/>
        <v>43003.339999998992</v>
      </c>
      <c r="S394" s="77">
        <f t="shared" si="54"/>
        <v>-1.0040821507573128E-9</v>
      </c>
    </row>
    <row r="395" spans="2:19" ht="12.75" customHeight="1" x14ac:dyDescent="0.25">
      <c r="B395" s="16">
        <v>22</v>
      </c>
      <c r="C395" s="1" t="s">
        <v>175</v>
      </c>
      <c r="D395" s="1"/>
      <c r="E395" s="30">
        <f t="shared" si="55"/>
        <v>2401752.48</v>
      </c>
      <c r="G395" s="52">
        <v>576282.38</v>
      </c>
      <c r="H395" s="51"/>
      <c r="I395" s="52">
        <v>1824569.4</v>
      </c>
      <c r="J395" s="51"/>
      <c r="K395" s="52">
        <v>900.7</v>
      </c>
      <c r="L395" s="51"/>
      <c r="M395" s="52">
        <v>1580878.74</v>
      </c>
      <c r="N395" s="51"/>
      <c r="O395" s="52">
        <v>1061701.3600000001</v>
      </c>
      <c r="P395" s="51"/>
      <c r="Q395" s="52">
        <v>240827.62</v>
      </c>
      <c r="R395" s="49">
        <f t="shared" si="56"/>
        <v>-481655.24000000011</v>
      </c>
      <c r="S395" s="77">
        <f t="shared" si="54"/>
        <v>0</v>
      </c>
    </row>
    <row r="396" spans="2:19" ht="12.75" customHeight="1" x14ac:dyDescent="0.25">
      <c r="B396" s="16">
        <v>23</v>
      </c>
      <c r="C396" s="1" t="s">
        <v>176</v>
      </c>
      <c r="D396" s="1"/>
      <c r="E396" s="30">
        <f t="shared" si="55"/>
        <v>2350808.44</v>
      </c>
      <c r="G396" s="52">
        <v>1495625.57</v>
      </c>
      <c r="H396" s="51"/>
      <c r="I396" s="52">
        <v>851046.68</v>
      </c>
      <c r="J396" s="51"/>
      <c r="K396" s="52">
        <v>4136.1899999999996</v>
      </c>
      <c r="L396" s="51"/>
      <c r="M396" s="52">
        <v>1841912.91</v>
      </c>
      <c r="N396" s="51"/>
      <c r="O396" s="52">
        <v>1131776.44</v>
      </c>
      <c r="P396" s="51"/>
      <c r="Q396" s="52">
        <v>622880.91</v>
      </c>
      <c r="R396" s="49">
        <f t="shared" si="56"/>
        <v>-1245761.8199999998</v>
      </c>
      <c r="S396" s="77">
        <f t="shared" si="54"/>
        <v>0</v>
      </c>
    </row>
    <row r="397" spans="2:19" ht="12.75" customHeight="1" x14ac:dyDescent="0.25">
      <c r="B397" s="16">
        <v>24</v>
      </c>
      <c r="C397" s="1" t="s">
        <v>177</v>
      </c>
      <c r="D397" s="1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S397" s="77">
        <f t="shared" si="54"/>
        <v>0</v>
      </c>
    </row>
    <row r="398" spans="2:19" ht="12.75" customHeight="1" x14ac:dyDescent="0.25">
      <c r="B398" s="16">
        <v>26</v>
      </c>
      <c r="C398" s="5"/>
      <c r="D398" s="1" t="s">
        <v>179</v>
      </c>
      <c r="E398" s="30">
        <f t="shared" ref="E398:E415" si="57">SUM(G398:K398)</f>
        <v>215910.75</v>
      </c>
      <c r="G398" s="52">
        <v>249478.14</v>
      </c>
      <c r="H398" s="51"/>
      <c r="I398" s="52">
        <v>-33567.39</v>
      </c>
      <c r="J398" s="51"/>
      <c r="K398" s="52"/>
      <c r="L398" s="51"/>
      <c r="M398" s="52">
        <v>16033.3</v>
      </c>
      <c r="N398" s="51"/>
      <c r="O398" s="52">
        <v>199877.45</v>
      </c>
      <c r="P398" s="51"/>
      <c r="Q398" s="52"/>
      <c r="R398" s="49">
        <f t="shared" ref="R398:R415" si="58">E398-M398-O398-Q398</f>
        <v>0</v>
      </c>
      <c r="S398" s="77">
        <f t="shared" si="54"/>
        <v>0</v>
      </c>
    </row>
    <row r="399" spans="2:19" ht="12.75" customHeight="1" x14ac:dyDescent="0.25">
      <c r="B399" s="16">
        <v>27</v>
      </c>
      <c r="C399" s="1"/>
      <c r="D399" s="1" t="s">
        <v>180</v>
      </c>
      <c r="E399" s="30">
        <f t="shared" si="57"/>
        <v>1121462.19</v>
      </c>
      <c r="G399" s="52">
        <v>850551.97</v>
      </c>
      <c r="H399" s="51"/>
      <c r="I399" s="52">
        <v>270910.21999999997</v>
      </c>
      <c r="J399" s="51"/>
      <c r="K399" s="52"/>
      <c r="L399" s="51"/>
      <c r="M399" s="52">
        <v>576961.67000000004</v>
      </c>
      <c r="N399" s="51"/>
      <c r="O399" s="52">
        <v>544500.52</v>
      </c>
      <c r="P399" s="51"/>
      <c r="Q399" s="52"/>
      <c r="R399" s="49">
        <f t="shared" si="58"/>
        <v>-1.1641532182693481E-10</v>
      </c>
      <c r="S399" s="77">
        <f t="shared" si="54"/>
        <v>-1.1641532182693481E-10</v>
      </c>
    </row>
    <row r="400" spans="2:19" ht="12.75" customHeight="1" x14ac:dyDescent="0.25">
      <c r="B400" s="16">
        <v>28</v>
      </c>
      <c r="C400" s="1" t="s">
        <v>185</v>
      </c>
      <c r="D400" s="1"/>
      <c r="E400" s="30">
        <f t="shared" si="57"/>
        <v>1577058.9000000001</v>
      </c>
      <c r="G400" s="52">
        <v>1124030.5900000001</v>
      </c>
      <c r="H400" s="51"/>
      <c r="I400" s="52">
        <v>453028.31</v>
      </c>
      <c r="J400" s="51"/>
      <c r="K400" s="52"/>
      <c r="L400" s="51"/>
      <c r="M400" s="52"/>
      <c r="N400" s="51"/>
      <c r="O400" s="52">
        <v>1577058.9</v>
      </c>
      <c r="P400" s="51"/>
      <c r="Q400" s="52"/>
      <c r="R400" s="49">
        <f t="shared" si="58"/>
        <v>2.3283064365386963E-10</v>
      </c>
      <c r="S400" s="77">
        <f t="shared" si="54"/>
        <v>2.3283064365386963E-10</v>
      </c>
    </row>
    <row r="401" spans="2:19" ht="12.75" customHeight="1" x14ac:dyDescent="0.25">
      <c r="B401" s="16">
        <v>28</v>
      </c>
      <c r="C401" s="55" t="s">
        <v>301</v>
      </c>
      <c r="D401" s="1"/>
      <c r="E401" s="30">
        <f t="shared" ref="E401" si="59">SUM(G401:K401)</f>
        <v>148184.21000000002</v>
      </c>
      <c r="G401" s="52">
        <v>102470.77</v>
      </c>
      <c r="H401" s="51"/>
      <c r="I401" s="52">
        <v>45713.440000000002</v>
      </c>
      <c r="J401" s="51"/>
      <c r="K401" s="52"/>
      <c r="L401" s="51"/>
      <c r="M401" s="52">
        <v>94521.44</v>
      </c>
      <c r="N401" s="51"/>
      <c r="O401" s="52">
        <v>53662.77</v>
      </c>
      <c r="P401" s="51"/>
      <c r="Q401" s="52"/>
      <c r="R401" s="49">
        <f t="shared" ref="R401" si="60">E401-M401-O401-Q401</f>
        <v>2.1827872842550278E-11</v>
      </c>
      <c r="S401" s="77">
        <f t="shared" ref="S401" si="61">E401-M401-O401+Q401</f>
        <v>2.1827872842550278E-11</v>
      </c>
    </row>
    <row r="402" spans="2:19" ht="12.75" customHeight="1" x14ac:dyDescent="0.25">
      <c r="B402" s="16">
        <v>30</v>
      </c>
      <c r="C402" s="1" t="s">
        <v>170</v>
      </c>
      <c r="D402" s="1"/>
      <c r="E402" s="30">
        <f t="shared" si="57"/>
        <v>322730.22000000003</v>
      </c>
      <c r="G402" s="52">
        <v>355859.45</v>
      </c>
      <c r="H402" s="51"/>
      <c r="I402" s="52">
        <v>-40161.620000000003</v>
      </c>
      <c r="J402" s="51"/>
      <c r="K402" s="52">
        <v>7032.39</v>
      </c>
      <c r="L402" s="51"/>
      <c r="M402" s="52">
        <v>377290.58</v>
      </c>
      <c r="N402" s="51"/>
      <c r="O402" s="52">
        <v>397531.87</v>
      </c>
      <c r="P402" s="51"/>
      <c r="Q402" s="52">
        <v>452092.23</v>
      </c>
      <c r="R402" s="49">
        <f t="shared" si="58"/>
        <v>-904184.46</v>
      </c>
      <c r="S402" s="77">
        <f t="shared" si="54"/>
        <v>0</v>
      </c>
    </row>
    <row r="403" spans="2:19" ht="12.75" customHeight="1" x14ac:dyDescent="0.25">
      <c r="B403" s="16">
        <v>31</v>
      </c>
      <c r="C403" s="1" t="s">
        <v>223</v>
      </c>
      <c r="D403" s="1"/>
      <c r="E403" s="30">
        <f t="shared" si="57"/>
        <v>12771826.810000001</v>
      </c>
      <c r="G403" s="52">
        <v>131797.38</v>
      </c>
      <c r="H403" s="51"/>
      <c r="I403" s="52">
        <v>12640029.43</v>
      </c>
      <c r="J403" s="51"/>
      <c r="K403" s="52"/>
      <c r="L403" s="51"/>
      <c r="M403" s="52">
        <v>6082610.1100000003</v>
      </c>
      <c r="N403" s="51"/>
      <c r="O403" s="52">
        <v>7499908.9800000004</v>
      </c>
      <c r="P403" s="51"/>
      <c r="Q403" s="52">
        <v>810692.28</v>
      </c>
      <c r="R403" s="49">
        <f t="shared" si="58"/>
        <v>-1621384.5600000003</v>
      </c>
      <c r="S403" s="77">
        <f t="shared" si="54"/>
        <v>0</v>
      </c>
    </row>
    <row r="404" spans="2:19" ht="12.75" customHeight="1" x14ac:dyDescent="0.25">
      <c r="B404" s="16">
        <v>25</v>
      </c>
      <c r="C404" s="5"/>
      <c r="D404" s="1" t="s">
        <v>178</v>
      </c>
      <c r="E404" s="30">
        <f>SUM(G404:K404)</f>
        <v>1463393.27</v>
      </c>
      <c r="G404" s="52"/>
      <c r="H404" s="51"/>
      <c r="I404" s="52">
        <v>1463393.27</v>
      </c>
      <c r="J404" s="51"/>
      <c r="K404" s="52"/>
      <c r="L404" s="51"/>
      <c r="M404" s="52">
        <v>1399656.24</v>
      </c>
      <c r="N404" s="51"/>
      <c r="O404" s="52">
        <v>1944160.74</v>
      </c>
      <c r="P404" s="51"/>
      <c r="Q404" s="52">
        <v>1880423.71</v>
      </c>
      <c r="R404" s="49">
        <f t="shared" si="58"/>
        <v>-3760847.42</v>
      </c>
      <c r="S404" s="77">
        <f t="shared" si="54"/>
        <v>0</v>
      </c>
    </row>
    <row r="405" spans="2:19" ht="12.75" customHeight="1" x14ac:dyDescent="0.25">
      <c r="B405" s="16">
        <v>25</v>
      </c>
      <c r="C405" s="5"/>
      <c r="D405" s="1" t="s">
        <v>288</v>
      </c>
      <c r="E405" s="30">
        <f>SUM(G405:K405)</f>
        <v>105266.12</v>
      </c>
      <c r="G405" s="52"/>
      <c r="H405" s="51"/>
      <c r="I405" s="52">
        <v>105266.12</v>
      </c>
      <c r="J405" s="51"/>
      <c r="K405" s="52"/>
      <c r="L405" s="51"/>
      <c r="M405" s="52"/>
      <c r="N405" s="51"/>
      <c r="O405" s="52">
        <v>105266.12</v>
      </c>
      <c r="P405" s="51"/>
      <c r="Q405" s="52"/>
      <c r="R405" s="49">
        <f>E405-M405-O405-Q405</f>
        <v>0</v>
      </c>
      <c r="S405" s="77">
        <f t="shared" si="54"/>
        <v>0</v>
      </c>
    </row>
    <row r="406" spans="2:19" ht="12.75" customHeight="1" x14ac:dyDescent="0.25">
      <c r="B406" s="16">
        <v>32</v>
      </c>
      <c r="C406" s="1" t="s">
        <v>181</v>
      </c>
      <c r="D406" s="1"/>
      <c r="E406" s="30">
        <f t="shared" si="57"/>
        <v>994746.95</v>
      </c>
      <c r="G406" s="52">
        <v>130029.6</v>
      </c>
      <c r="H406" s="51"/>
      <c r="I406" s="52">
        <v>864717.35</v>
      </c>
      <c r="J406" s="51"/>
      <c r="K406" s="52"/>
      <c r="L406" s="51"/>
      <c r="M406" s="52">
        <v>683792.3</v>
      </c>
      <c r="N406" s="51"/>
      <c r="O406" s="52">
        <v>310252.65000000002</v>
      </c>
      <c r="P406" s="51"/>
      <c r="Q406" s="52">
        <v>-702</v>
      </c>
      <c r="R406" s="49">
        <f t="shared" si="58"/>
        <v>1403.9999999998836</v>
      </c>
      <c r="S406" s="77">
        <f t="shared" si="54"/>
        <v>-1.1641532182693481E-10</v>
      </c>
    </row>
    <row r="407" spans="2:19" ht="12.75" customHeight="1" x14ac:dyDescent="0.25">
      <c r="B407" s="16">
        <v>33</v>
      </c>
      <c r="C407" s="1" t="s">
        <v>182</v>
      </c>
      <c r="D407" s="1"/>
      <c r="E407" s="30">
        <f t="shared" si="57"/>
        <v>7057831.9900000002</v>
      </c>
      <c r="G407" s="52">
        <v>6708394.9299999997</v>
      </c>
      <c r="H407" s="51"/>
      <c r="I407" s="52">
        <v>344581.58</v>
      </c>
      <c r="J407" s="51"/>
      <c r="K407" s="52">
        <v>4855.4799999999996</v>
      </c>
      <c r="L407" s="51"/>
      <c r="M407" s="52">
        <v>5525956.7400000002</v>
      </c>
      <c r="N407" s="51"/>
      <c r="O407" s="52">
        <v>4139900.25</v>
      </c>
      <c r="P407" s="51"/>
      <c r="Q407" s="52">
        <v>2608025</v>
      </c>
      <c r="R407" s="49">
        <f t="shared" si="58"/>
        <v>-5216050</v>
      </c>
      <c r="S407" s="77">
        <f t="shared" si="54"/>
        <v>0</v>
      </c>
    </row>
    <row r="408" spans="2:19" ht="12.75" customHeight="1" x14ac:dyDescent="0.25">
      <c r="B408" s="16">
        <v>34</v>
      </c>
      <c r="C408" s="55" t="s">
        <v>300</v>
      </c>
      <c r="D408" s="1"/>
      <c r="E408" s="30">
        <f t="shared" ref="E408" si="62">SUM(G408:K408)</f>
        <v>1887987.96</v>
      </c>
      <c r="G408" s="52"/>
      <c r="H408" s="51"/>
      <c r="I408" s="52">
        <v>1887987.96</v>
      </c>
      <c r="J408" s="51"/>
      <c r="K408" s="52"/>
      <c r="L408" s="51"/>
      <c r="M408" s="52">
        <v>110863.72</v>
      </c>
      <c r="N408" s="51"/>
      <c r="O408" s="52">
        <v>1777004.24</v>
      </c>
      <c r="P408" s="51"/>
      <c r="Q408" s="52">
        <v>-120</v>
      </c>
      <c r="R408" s="49">
        <f t="shared" ref="R408" si="63">E408-M408-O408-Q408</f>
        <v>240</v>
      </c>
      <c r="S408" s="77">
        <f t="shared" ref="S408" si="64">E408-M408-O408+Q408</f>
        <v>0</v>
      </c>
    </row>
    <row r="409" spans="2:19" ht="12.75" customHeight="1" x14ac:dyDescent="0.25">
      <c r="B409" s="16">
        <v>34</v>
      </c>
      <c r="C409" s="1" t="s">
        <v>183</v>
      </c>
      <c r="D409" s="1"/>
      <c r="E409" s="30">
        <f t="shared" si="57"/>
        <v>475607.23</v>
      </c>
      <c r="G409" s="52">
        <v>475337.23</v>
      </c>
      <c r="H409" s="51"/>
      <c r="I409" s="52">
        <v>270</v>
      </c>
      <c r="J409" s="51"/>
      <c r="K409" s="52"/>
      <c r="L409" s="51"/>
      <c r="M409" s="52">
        <v>337377.69</v>
      </c>
      <c r="N409" s="51"/>
      <c r="O409" s="52">
        <v>138229.54</v>
      </c>
      <c r="P409" s="51"/>
      <c r="Q409" s="52"/>
      <c r="R409" s="49">
        <f t="shared" si="58"/>
        <v>-2.9103830456733704E-11</v>
      </c>
      <c r="S409" s="77">
        <f t="shared" si="54"/>
        <v>-2.9103830456733704E-11</v>
      </c>
    </row>
    <row r="410" spans="2:19" ht="12.75" customHeight="1" x14ac:dyDescent="0.25">
      <c r="B410" s="16">
        <v>35</v>
      </c>
      <c r="C410" s="1" t="s">
        <v>184</v>
      </c>
      <c r="D410" s="1"/>
      <c r="E410" s="30">
        <f t="shared" si="57"/>
        <v>1022065.5</v>
      </c>
      <c r="G410" s="52">
        <v>375127.57</v>
      </c>
      <c r="H410" s="51"/>
      <c r="I410" s="52">
        <v>646937.93000000005</v>
      </c>
      <c r="J410" s="51"/>
      <c r="K410" s="52"/>
      <c r="L410" s="51"/>
      <c r="M410" s="52">
        <v>553000.99</v>
      </c>
      <c r="N410" s="51"/>
      <c r="O410" s="52">
        <v>577094.51</v>
      </c>
      <c r="P410" s="51"/>
      <c r="Q410" s="52">
        <v>108030</v>
      </c>
      <c r="R410" s="49">
        <f t="shared" si="58"/>
        <v>-216060</v>
      </c>
      <c r="S410" s="77">
        <f t="shared" si="54"/>
        <v>0</v>
      </c>
    </row>
    <row r="411" spans="2:19" ht="12.75" customHeight="1" x14ac:dyDescent="0.25">
      <c r="C411" s="1" t="s">
        <v>248</v>
      </c>
      <c r="D411" s="1"/>
      <c r="E411" s="30">
        <f t="shared" si="57"/>
        <v>0</v>
      </c>
      <c r="G411" s="52"/>
      <c r="H411" s="51"/>
      <c r="I411" s="52"/>
      <c r="J411" s="51"/>
      <c r="K411" s="52"/>
      <c r="L411" s="51"/>
      <c r="M411" s="52"/>
      <c r="N411" s="51"/>
      <c r="O411" s="52"/>
      <c r="P411" s="51"/>
      <c r="Q411" s="52"/>
      <c r="R411" s="49">
        <f t="shared" si="58"/>
        <v>0</v>
      </c>
      <c r="S411" s="77">
        <f t="shared" si="54"/>
        <v>0</v>
      </c>
    </row>
    <row r="412" spans="2:19" ht="12.75" customHeight="1" x14ac:dyDescent="0.25">
      <c r="B412" s="16">
        <v>36</v>
      </c>
      <c r="C412" s="1" t="s">
        <v>171</v>
      </c>
      <c r="D412" s="1"/>
      <c r="E412" s="30">
        <f t="shared" si="57"/>
        <v>68478.460000000006</v>
      </c>
      <c r="G412" s="52">
        <v>1610.05</v>
      </c>
      <c r="H412" s="51"/>
      <c r="I412" s="52">
        <v>59777.21</v>
      </c>
      <c r="J412" s="51"/>
      <c r="K412" s="52">
        <v>7091.2</v>
      </c>
      <c r="L412" s="51"/>
      <c r="M412" s="52">
        <v>333609.49</v>
      </c>
      <c r="N412" s="51"/>
      <c r="O412" s="52">
        <v>404734.86</v>
      </c>
      <c r="P412" s="51"/>
      <c r="Q412" s="52">
        <v>669865.89</v>
      </c>
      <c r="R412" s="49">
        <f t="shared" si="58"/>
        <v>-1339731.7799999998</v>
      </c>
      <c r="S412" s="77">
        <f t="shared" si="54"/>
        <v>0</v>
      </c>
    </row>
    <row r="413" spans="2:19" ht="12.75" customHeight="1" x14ac:dyDescent="0.25">
      <c r="B413" s="16">
        <v>37</v>
      </c>
      <c r="C413" s="1" t="s">
        <v>172</v>
      </c>
      <c r="D413" s="1"/>
      <c r="E413" s="30">
        <f t="shared" si="57"/>
        <v>550622.08000000007</v>
      </c>
      <c r="G413" s="52">
        <v>199.8</v>
      </c>
      <c r="H413" s="51"/>
      <c r="I413" s="52">
        <v>549897.13</v>
      </c>
      <c r="J413" s="51"/>
      <c r="K413" s="52">
        <v>525.15</v>
      </c>
      <c r="L413" s="51"/>
      <c r="M413" s="52">
        <v>501784.2</v>
      </c>
      <c r="N413" s="51"/>
      <c r="O413" s="52">
        <v>2499404.89</v>
      </c>
      <c r="P413" s="51"/>
      <c r="Q413" s="52">
        <v>2450567.0099999998</v>
      </c>
      <c r="R413" s="49">
        <f t="shared" si="58"/>
        <v>-4901134.0199999996</v>
      </c>
      <c r="S413" s="77">
        <f t="shared" si="54"/>
        <v>0</v>
      </c>
    </row>
    <row r="414" spans="2:19" ht="12.75" customHeight="1" x14ac:dyDescent="0.25">
      <c r="B414" s="16">
        <v>38</v>
      </c>
      <c r="C414" s="1" t="s">
        <v>186</v>
      </c>
      <c r="D414" s="1"/>
      <c r="E414" s="30">
        <f t="shared" si="57"/>
        <v>166892.12000000011</v>
      </c>
      <c r="G414" s="52">
        <v>5776142.2300000004</v>
      </c>
      <c r="H414" s="51"/>
      <c r="I414" s="52">
        <v>-5610504.1100000003</v>
      </c>
      <c r="J414" s="51"/>
      <c r="K414" s="52">
        <v>1254</v>
      </c>
      <c r="L414" s="51"/>
      <c r="M414" s="52"/>
      <c r="N414" s="51"/>
      <c r="O414" s="52">
        <v>13677914.23</v>
      </c>
      <c r="P414" s="51"/>
      <c r="Q414" s="52">
        <v>13511022.109999999</v>
      </c>
      <c r="R414" s="49">
        <f t="shared" si="58"/>
        <v>-27022044.219999999</v>
      </c>
      <c r="S414" s="77">
        <f t="shared" si="54"/>
        <v>0</v>
      </c>
    </row>
    <row r="415" spans="2:19" ht="12.75" customHeight="1" x14ac:dyDescent="0.25">
      <c r="B415" s="16">
        <v>39</v>
      </c>
      <c r="C415" s="1" t="s">
        <v>100</v>
      </c>
      <c r="D415" s="1"/>
      <c r="E415" s="30">
        <f t="shared" si="57"/>
        <v>323150.27</v>
      </c>
      <c r="G415" s="52">
        <v>-190425.46</v>
      </c>
      <c r="H415" s="51"/>
      <c r="I415" s="52">
        <v>513575.73</v>
      </c>
      <c r="J415" s="51"/>
      <c r="K415" s="52"/>
      <c r="L415" s="51"/>
      <c r="M415" s="52">
        <v>337875.01</v>
      </c>
      <c r="N415" s="51"/>
      <c r="O415" s="52">
        <v>-14724.74</v>
      </c>
      <c r="P415" s="51"/>
      <c r="Q415" s="52"/>
      <c r="R415" s="49">
        <f t="shared" si="58"/>
        <v>9.0949470177292824E-12</v>
      </c>
      <c r="S415" s="77">
        <f t="shared" si="54"/>
        <v>9.0949470177292824E-12</v>
      </c>
    </row>
    <row r="416" spans="2:19" ht="12.75" customHeight="1" x14ac:dyDescent="0.25">
      <c r="B416" s="16">
        <v>40</v>
      </c>
      <c r="C416" s="1" t="s">
        <v>101</v>
      </c>
      <c r="D416" s="1"/>
      <c r="E416" s="54">
        <f>G416+I416+K416</f>
        <v>0</v>
      </c>
      <c r="G416" s="53">
        <v>-14805761.710000001</v>
      </c>
      <c r="H416" s="51"/>
      <c r="I416" s="53">
        <v>14805761.710000001</v>
      </c>
      <c r="J416" s="51"/>
      <c r="K416" s="53"/>
      <c r="L416" s="51"/>
      <c r="M416" s="53"/>
      <c r="N416" s="51"/>
      <c r="O416" s="53"/>
      <c r="P416" s="51"/>
      <c r="Q416" s="53"/>
      <c r="R416" s="49">
        <f>E416-M416-O416-Q416</f>
        <v>0</v>
      </c>
      <c r="S416" s="77">
        <f t="shared" si="54"/>
        <v>0</v>
      </c>
    </row>
    <row r="417" spans="1:19" ht="12.75" customHeight="1" x14ac:dyDescent="0.25">
      <c r="A417" s="33"/>
    </row>
    <row r="418" spans="1:19" ht="12.75" customHeight="1" x14ac:dyDescent="0.25">
      <c r="A418" s="5"/>
      <c r="B418" s="5"/>
      <c r="C418" s="5"/>
      <c r="D418" s="1" t="s">
        <v>187</v>
      </c>
      <c r="E418" s="6">
        <f>SUM(E371:E416)</f>
        <v>43179928.669999994</v>
      </c>
      <c r="G418" s="6">
        <f>SUM(G371:G416)</f>
        <v>22453646.799999997</v>
      </c>
      <c r="I418" s="6">
        <f>SUM(I371:I416)</f>
        <v>20054444.310000002</v>
      </c>
      <c r="K418" s="6">
        <f>SUM(K371:K416)</f>
        <v>671837.55999999994</v>
      </c>
      <c r="M418" s="6">
        <f>SUM(M371:M416)</f>
        <v>37954317.899999999</v>
      </c>
      <c r="O418" s="6">
        <f>SUM(O371:O416)</f>
        <v>55260765.669999994</v>
      </c>
      <c r="Q418" s="6">
        <f>SUM(Q371:Q416)</f>
        <v>50035154.899999999</v>
      </c>
      <c r="R418" s="49">
        <f>E418-G418-I418-K418</f>
        <v>-5.005858838558197E-9</v>
      </c>
      <c r="S418" s="77">
        <f>E418-M418-O418+Q418</f>
        <v>0</v>
      </c>
    </row>
    <row r="419" spans="1:19" ht="12.75" customHeight="1" x14ac:dyDescent="0.25">
      <c r="A419" s="38"/>
      <c r="G419" s="74"/>
    </row>
    <row r="420" spans="1:19" ht="12.75" customHeight="1" x14ac:dyDescent="0.25">
      <c r="A420" s="31" t="s">
        <v>201</v>
      </c>
    </row>
    <row r="421" spans="1:19" ht="12.75" customHeight="1" x14ac:dyDescent="0.25">
      <c r="A421" s="33"/>
    </row>
    <row r="422" spans="1:19" ht="12.75" customHeight="1" x14ac:dyDescent="0.25">
      <c r="A422" s="5"/>
      <c r="B422" s="1" t="s">
        <v>202</v>
      </c>
    </row>
    <row r="423" spans="1:19" ht="12.75" customHeight="1" x14ac:dyDescent="0.25">
      <c r="A423" s="5"/>
      <c r="B423" s="5">
        <v>1</v>
      </c>
      <c r="C423" s="1" t="s">
        <v>190</v>
      </c>
      <c r="D423" s="1"/>
      <c r="E423" s="30">
        <f t="shared" ref="E423:E435" si="65">SUM(G423:K423)</f>
        <v>0</v>
      </c>
      <c r="G423" s="52"/>
      <c r="H423" s="51"/>
      <c r="I423" s="52"/>
      <c r="J423" s="51"/>
      <c r="K423" s="52"/>
      <c r="L423" s="51"/>
      <c r="M423" s="52"/>
      <c r="N423" s="51"/>
      <c r="O423" s="52"/>
      <c r="P423" s="51"/>
      <c r="Q423" s="52"/>
      <c r="R423" s="49">
        <f t="shared" ref="R423:R435" si="66">E423-M423-O423-Q423</f>
        <v>0</v>
      </c>
      <c r="S423" s="77">
        <f t="shared" ref="S423:S436" si="67">E423-M423-O423+Q423</f>
        <v>0</v>
      </c>
    </row>
    <row r="424" spans="1:19" ht="12.75" customHeight="1" x14ac:dyDescent="0.25">
      <c r="A424" s="5"/>
      <c r="B424" s="5">
        <v>12</v>
      </c>
      <c r="C424" s="1" t="s">
        <v>210</v>
      </c>
      <c r="D424" s="1"/>
      <c r="E424" s="30">
        <f>SUM(G424:K424)</f>
        <v>-27600</v>
      </c>
      <c r="G424" s="52"/>
      <c r="H424" s="51"/>
      <c r="I424" s="52">
        <v>-27600</v>
      </c>
      <c r="J424" s="51"/>
      <c r="K424" s="52"/>
      <c r="L424" s="51"/>
      <c r="M424" s="52"/>
      <c r="N424" s="51"/>
      <c r="O424" s="52">
        <v>-27600</v>
      </c>
      <c r="P424" s="51"/>
      <c r="Q424" s="52"/>
      <c r="R424" s="49">
        <f>E424-M424-O424-Q424</f>
        <v>0</v>
      </c>
      <c r="S424" s="77">
        <f>E424-M424-O424+Q424</f>
        <v>0</v>
      </c>
    </row>
    <row r="425" spans="1:19" ht="12.75" customHeight="1" x14ac:dyDescent="0.25">
      <c r="A425" s="5"/>
      <c r="B425" s="5"/>
      <c r="C425" s="55" t="s">
        <v>302</v>
      </c>
      <c r="D425" s="1"/>
      <c r="E425" s="30">
        <f t="shared" ref="E425" si="68">SUM(G425:K425)</f>
        <v>720700.6</v>
      </c>
      <c r="G425" s="52">
        <v>459</v>
      </c>
      <c r="H425" s="51"/>
      <c r="I425" s="52">
        <v>719476.15</v>
      </c>
      <c r="J425" s="51"/>
      <c r="K425" s="52">
        <v>765.45</v>
      </c>
      <c r="L425" s="51"/>
      <c r="M425" s="52">
        <v>337900.14</v>
      </c>
      <c r="N425" s="51"/>
      <c r="O425" s="52">
        <v>382800.46</v>
      </c>
      <c r="P425" s="51"/>
      <c r="Q425" s="52"/>
      <c r="R425" s="49">
        <f t="shared" ref="R425" si="69">E425-M425-O425-Q425</f>
        <v>-5.8207660913467407E-11</v>
      </c>
      <c r="S425" s="77">
        <f t="shared" ref="S425" si="70">E425-M425-O425+Q425</f>
        <v>-5.8207660913467407E-11</v>
      </c>
    </row>
    <row r="426" spans="1:19" ht="12.75" customHeight="1" x14ac:dyDescent="0.25">
      <c r="A426" s="5"/>
      <c r="B426" s="5"/>
      <c r="C426" s="1" t="s">
        <v>243</v>
      </c>
      <c r="D426" s="1"/>
      <c r="E426" s="30">
        <f t="shared" si="65"/>
        <v>0</v>
      </c>
      <c r="G426" s="52"/>
      <c r="H426" s="51"/>
      <c r="I426" s="52"/>
      <c r="J426" s="51"/>
      <c r="K426" s="52"/>
      <c r="L426" s="51"/>
      <c r="M426" s="52"/>
      <c r="N426" s="51"/>
      <c r="O426" s="52"/>
      <c r="P426" s="51"/>
      <c r="Q426" s="52"/>
      <c r="R426" s="49">
        <f t="shared" si="66"/>
        <v>0</v>
      </c>
      <c r="S426" s="77">
        <f t="shared" si="67"/>
        <v>0</v>
      </c>
    </row>
    <row r="427" spans="1:19" ht="12.75" customHeight="1" x14ac:dyDescent="0.25">
      <c r="A427" s="5"/>
      <c r="B427" s="5">
        <v>2</v>
      </c>
      <c r="C427" s="1" t="s">
        <v>203</v>
      </c>
      <c r="D427" s="1"/>
      <c r="E427" s="30">
        <f t="shared" si="65"/>
        <v>66440166.509999998</v>
      </c>
      <c r="G427" s="52">
        <v>70662.149999999994</v>
      </c>
      <c r="H427" s="51"/>
      <c r="I427" s="52">
        <v>66277022.950000003</v>
      </c>
      <c r="J427" s="51"/>
      <c r="K427" s="52">
        <v>92481.41</v>
      </c>
      <c r="L427" s="51"/>
      <c r="M427" s="52">
        <v>27560973.73</v>
      </c>
      <c r="N427" s="51"/>
      <c r="O427" s="52">
        <v>38830445.780000001</v>
      </c>
      <c r="P427" s="51"/>
      <c r="Q427" s="52">
        <v>-48747</v>
      </c>
      <c r="R427" s="49">
        <f t="shared" si="66"/>
        <v>97494</v>
      </c>
      <c r="S427" s="77">
        <f t="shared" si="67"/>
        <v>0</v>
      </c>
    </row>
    <row r="428" spans="1:19" ht="12.75" customHeight="1" x14ac:dyDescent="0.25">
      <c r="A428" s="5"/>
      <c r="B428" s="5">
        <v>3</v>
      </c>
      <c r="C428" s="1" t="s">
        <v>204</v>
      </c>
      <c r="D428" s="1"/>
      <c r="E428" s="30">
        <f t="shared" si="65"/>
        <v>0</v>
      </c>
      <c r="G428" s="52"/>
      <c r="H428" s="51"/>
      <c r="I428" s="52"/>
      <c r="J428" s="51"/>
      <c r="K428" s="52"/>
      <c r="L428" s="51"/>
      <c r="M428" s="52"/>
      <c r="N428" s="51"/>
      <c r="O428" s="52"/>
      <c r="P428" s="51"/>
      <c r="Q428" s="52"/>
      <c r="R428" s="49">
        <f t="shared" si="66"/>
        <v>0</v>
      </c>
      <c r="S428" s="77">
        <f t="shared" si="67"/>
        <v>0</v>
      </c>
    </row>
    <row r="429" spans="1:19" ht="12.75" customHeight="1" x14ac:dyDescent="0.25">
      <c r="A429" s="5"/>
      <c r="B429" s="5">
        <v>5</v>
      </c>
      <c r="C429" s="1" t="s">
        <v>205</v>
      </c>
      <c r="D429" s="1"/>
      <c r="E429" s="30">
        <f t="shared" si="65"/>
        <v>0</v>
      </c>
      <c r="G429" s="52"/>
      <c r="H429" s="51"/>
      <c r="I429" s="52"/>
      <c r="J429" s="51"/>
      <c r="K429" s="52"/>
      <c r="L429" s="51"/>
      <c r="M429" s="52"/>
      <c r="N429" s="51"/>
      <c r="O429" s="52"/>
      <c r="P429" s="51"/>
      <c r="Q429" s="52"/>
      <c r="R429" s="49">
        <f t="shared" si="66"/>
        <v>0</v>
      </c>
      <c r="S429" s="77">
        <f t="shared" si="67"/>
        <v>0</v>
      </c>
    </row>
    <row r="430" spans="1:19" ht="12.75" customHeight="1" x14ac:dyDescent="0.25">
      <c r="A430" s="5"/>
      <c r="B430" s="5">
        <v>6</v>
      </c>
      <c r="C430" s="1" t="s">
        <v>206</v>
      </c>
      <c r="D430" s="1"/>
      <c r="E430" s="30">
        <f t="shared" si="65"/>
        <v>0</v>
      </c>
      <c r="G430" s="52"/>
      <c r="H430" s="51"/>
      <c r="I430" s="52"/>
      <c r="J430" s="51"/>
      <c r="K430" s="52"/>
      <c r="L430" s="51"/>
      <c r="M430" s="52"/>
      <c r="N430" s="51"/>
      <c r="O430" s="52"/>
      <c r="P430" s="51"/>
      <c r="Q430" s="52"/>
      <c r="R430" s="49">
        <f t="shared" si="66"/>
        <v>0</v>
      </c>
      <c r="S430" s="77">
        <f t="shared" si="67"/>
        <v>0</v>
      </c>
    </row>
    <row r="431" spans="1:19" ht="12.75" customHeight="1" x14ac:dyDescent="0.25">
      <c r="A431" s="5"/>
      <c r="B431" s="5">
        <v>7</v>
      </c>
      <c r="C431" s="1" t="s">
        <v>207</v>
      </c>
      <c r="D431" s="1"/>
      <c r="E431" s="30">
        <f t="shared" si="65"/>
        <v>0</v>
      </c>
      <c r="G431" s="52"/>
      <c r="H431" s="51"/>
      <c r="I431" s="52"/>
      <c r="J431" s="51"/>
      <c r="K431" s="52"/>
      <c r="L431" s="51"/>
      <c r="M431" s="52"/>
      <c r="N431" s="51"/>
      <c r="O431" s="52"/>
      <c r="P431" s="51"/>
      <c r="Q431" s="52"/>
      <c r="R431" s="49">
        <f t="shared" si="66"/>
        <v>0</v>
      </c>
      <c r="S431" s="77">
        <f t="shared" si="67"/>
        <v>0</v>
      </c>
    </row>
    <row r="432" spans="1:19" ht="12.75" customHeight="1" x14ac:dyDescent="0.25">
      <c r="A432" s="5"/>
      <c r="B432" s="5"/>
      <c r="C432" s="1" t="s">
        <v>263</v>
      </c>
      <c r="D432" s="1"/>
      <c r="E432" s="30">
        <f t="shared" si="65"/>
        <v>0</v>
      </c>
      <c r="G432" s="52"/>
      <c r="H432" s="51"/>
      <c r="I432" s="52"/>
      <c r="J432" s="51"/>
      <c r="K432" s="52"/>
      <c r="L432" s="51"/>
      <c r="M432" s="52"/>
      <c r="N432" s="51"/>
      <c r="O432" s="52"/>
      <c r="P432" s="51"/>
      <c r="Q432" s="52"/>
      <c r="R432" s="49">
        <f t="shared" si="66"/>
        <v>0</v>
      </c>
      <c r="S432" s="77">
        <f t="shared" si="67"/>
        <v>0</v>
      </c>
    </row>
    <row r="433" spans="1:19" ht="12.75" customHeight="1" x14ac:dyDescent="0.25">
      <c r="A433" s="5"/>
      <c r="B433" s="5">
        <v>8</v>
      </c>
      <c r="C433" s="1" t="s">
        <v>208</v>
      </c>
      <c r="D433" s="1"/>
      <c r="E433" s="30">
        <f t="shared" si="65"/>
        <v>0</v>
      </c>
      <c r="G433" s="52"/>
      <c r="H433" s="51"/>
      <c r="I433" s="52"/>
      <c r="J433" s="51"/>
      <c r="K433" s="52"/>
      <c r="L433" s="51"/>
      <c r="M433" s="52"/>
      <c r="N433" s="51"/>
      <c r="O433" s="52"/>
      <c r="P433" s="51"/>
      <c r="Q433" s="52"/>
      <c r="R433" s="49">
        <f t="shared" si="66"/>
        <v>0</v>
      </c>
      <c r="S433" s="77">
        <f t="shared" si="67"/>
        <v>0</v>
      </c>
    </row>
    <row r="434" spans="1:19" ht="12.75" customHeight="1" x14ac:dyDescent="0.25">
      <c r="A434" s="5"/>
      <c r="B434" s="5">
        <v>9</v>
      </c>
      <c r="C434" s="1" t="s">
        <v>209</v>
      </c>
      <c r="D434" s="1"/>
      <c r="E434" s="30">
        <f t="shared" si="65"/>
        <v>0</v>
      </c>
      <c r="G434" s="52"/>
      <c r="H434" s="51"/>
      <c r="I434" s="52"/>
      <c r="J434" s="51"/>
      <c r="K434" s="52"/>
      <c r="L434" s="51"/>
      <c r="M434" s="52"/>
      <c r="N434" s="51"/>
      <c r="O434" s="52"/>
      <c r="P434" s="51"/>
      <c r="Q434" s="52"/>
      <c r="R434" s="49">
        <f t="shared" si="66"/>
        <v>0</v>
      </c>
      <c r="S434" s="77">
        <f t="shared" si="67"/>
        <v>0</v>
      </c>
    </row>
    <row r="435" spans="1:19" ht="12.75" customHeight="1" x14ac:dyDescent="0.25">
      <c r="A435" s="5"/>
      <c r="B435" s="5">
        <v>10</v>
      </c>
      <c r="C435" s="1" t="s">
        <v>264</v>
      </c>
      <c r="D435" s="1"/>
      <c r="E435" s="30">
        <f t="shared" si="65"/>
        <v>0</v>
      </c>
      <c r="G435" s="52"/>
      <c r="H435" s="51"/>
      <c r="I435" s="52"/>
      <c r="J435" s="51"/>
      <c r="K435" s="52"/>
      <c r="L435" s="51"/>
      <c r="M435" s="52"/>
      <c r="N435" s="51"/>
      <c r="O435" s="52"/>
      <c r="P435" s="51"/>
      <c r="Q435" s="52"/>
      <c r="R435" s="49">
        <f t="shared" si="66"/>
        <v>0</v>
      </c>
      <c r="S435" s="77">
        <f t="shared" si="67"/>
        <v>0</v>
      </c>
    </row>
    <row r="436" spans="1:19" ht="12.75" customHeight="1" x14ac:dyDescent="0.25">
      <c r="A436" s="5"/>
      <c r="B436" s="5">
        <v>13</v>
      </c>
      <c r="C436" s="1" t="s">
        <v>211</v>
      </c>
      <c r="D436" s="1"/>
      <c r="E436" s="54">
        <f>G436+I436+K436</f>
        <v>0</v>
      </c>
      <c r="G436" s="53"/>
      <c r="H436" s="51"/>
      <c r="I436" s="53"/>
      <c r="J436" s="51"/>
      <c r="K436" s="53"/>
      <c r="L436" s="51"/>
      <c r="M436" s="53"/>
      <c r="N436" s="51"/>
      <c r="O436" s="53"/>
      <c r="P436" s="51"/>
      <c r="Q436" s="53"/>
      <c r="R436" s="49">
        <f>E436-M436-O436-Q436</f>
        <v>0</v>
      </c>
      <c r="S436" s="77">
        <f t="shared" si="67"/>
        <v>0</v>
      </c>
    </row>
    <row r="437" spans="1:19" ht="12.75" customHeight="1" x14ac:dyDescent="0.25">
      <c r="A437" s="5"/>
      <c r="B437" s="33"/>
      <c r="G437" s="30" t="s">
        <v>19</v>
      </c>
    </row>
    <row r="438" spans="1:19" ht="12.75" customHeight="1" x14ac:dyDescent="0.25">
      <c r="A438" s="5"/>
      <c r="B438" s="5"/>
      <c r="C438" s="5"/>
      <c r="D438" s="1" t="s">
        <v>2</v>
      </c>
      <c r="E438" s="6">
        <f>G438+I438+K438</f>
        <v>67133267.109999999</v>
      </c>
      <c r="G438" s="6">
        <f>SUM(G423:G436)</f>
        <v>71121.149999999994</v>
      </c>
      <c r="I438" s="6">
        <f>SUM(I423:I436)</f>
        <v>66968899.100000001</v>
      </c>
      <c r="K438" s="6">
        <f>SUM(K423:K436)</f>
        <v>93246.86</v>
      </c>
      <c r="M438" s="6">
        <f>SUM(M423:M436)</f>
        <v>27898873.870000001</v>
      </c>
      <c r="O438" s="6">
        <f>SUM(O423:O436)</f>
        <v>39185646.240000002</v>
      </c>
      <c r="Q438" s="6">
        <f>SUM(Q423:Q436)</f>
        <v>-48747</v>
      </c>
      <c r="R438" s="49">
        <f>E438-G438-I438-K438</f>
        <v>-5.9662852436304092E-10</v>
      </c>
      <c r="S438" s="77">
        <f>E438-M438-O438+Q438</f>
        <v>-7.4505805969238281E-9</v>
      </c>
    </row>
    <row r="439" spans="1:19" ht="12.75" customHeight="1" x14ac:dyDescent="0.25">
      <c r="A439" s="33"/>
    </row>
    <row r="440" spans="1:19" ht="12.75" customHeight="1" x14ac:dyDescent="0.25">
      <c r="A440" s="5"/>
      <c r="B440" s="1" t="s">
        <v>212</v>
      </c>
      <c r="C440" s="5"/>
      <c r="D440" s="5"/>
      <c r="I440" s="37"/>
      <c r="J440" s="37"/>
      <c r="K440" s="37"/>
      <c r="L440" s="37"/>
      <c r="M440" s="37"/>
      <c r="N440" s="37"/>
      <c r="O440" s="37"/>
    </row>
    <row r="441" spans="1:19" ht="12.75" customHeight="1" x14ac:dyDescent="0.25">
      <c r="A441" s="5"/>
      <c r="C441" s="1" t="s">
        <v>213</v>
      </c>
      <c r="D441" s="1"/>
      <c r="E441" s="30">
        <f t="shared" ref="E441:E449" si="71">SUM(G441:K441)</f>
        <v>-654724.67000000004</v>
      </c>
      <c r="G441" s="52"/>
      <c r="H441" s="51"/>
      <c r="I441" s="52">
        <v>-654724.67000000004</v>
      </c>
      <c r="J441" s="51"/>
      <c r="K441" s="52"/>
      <c r="L441" s="51"/>
      <c r="M441" s="52">
        <v>350654.99</v>
      </c>
      <c r="N441" s="51"/>
      <c r="O441" s="52">
        <v>363857.34</v>
      </c>
      <c r="P441" s="51"/>
      <c r="Q441" s="52">
        <v>1369237</v>
      </c>
      <c r="R441" s="49">
        <f t="shared" ref="R441:R449" si="72">E441-M441-O441-Q441</f>
        <v>-2738474</v>
      </c>
      <c r="S441" s="77">
        <f t="shared" ref="S441:S450" si="73">E441-M441-O441+Q441</f>
        <v>0</v>
      </c>
    </row>
    <row r="442" spans="1:19" ht="12.75" customHeight="1" x14ac:dyDescent="0.25">
      <c r="A442" s="5"/>
      <c r="C442" s="1" t="s">
        <v>214</v>
      </c>
      <c r="D442" s="1"/>
      <c r="E442" s="30">
        <f t="shared" si="71"/>
        <v>3251580.68</v>
      </c>
      <c r="G442" s="52">
        <v>5741.41</v>
      </c>
      <c r="H442" s="51"/>
      <c r="I442" s="52">
        <v>3283827.85</v>
      </c>
      <c r="J442" s="51"/>
      <c r="K442" s="52">
        <v>-37988.58</v>
      </c>
      <c r="L442" s="51"/>
      <c r="M442" s="52">
        <v>2052110.74</v>
      </c>
      <c r="N442" s="51"/>
      <c r="O442" s="52">
        <v>1197480.44</v>
      </c>
      <c r="P442" s="51"/>
      <c r="Q442" s="52">
        <v>-1989.5</v>
      </c>
      <c r="R442" s="49">
        <f t="shared" si="72"/>
        <v>3979.0000000002328</v>
      </c>
      <c r="S442" s="77">
        <f t="shared" si="73"/>
        <v>2.3283064365386963E-10</v>
      </c>
    </row>
    <row r="443" spans="1:19" ht="12.75" customHeight="1" x14ac:dyDescent="0.25">
      <c r="A443" s="5"/>
      <c r="C443" s="1" t="s">
        <v>215</v>
      </c>
      <c r="D443" s="1"/>
      <c r="E443" s="30">
        <f t="shared" si="71"/>
        <v>3129.61</v>
      </c>
      <c r="G443" s="52"/>
      <c r="H443" s="51"/>
      <c r="I443" s="52">
        <v>3129.61</v>
      </c>
      <c r="J443" s="51"/>
      <c r="K443" s="52"/>
      <c r="L443" s="51"/>
      <c r="M443" s="52"/>
      <c r="N443" s="51"/>
      <c r="O443" s="52">
        <v>3129.61</v>
      </c>
      <c r="P443" s="51"/>
      <c r="Q443" s="52"/>
      <c r="R443" s="49">
        <f t="shared" si="72"/>
        <v>0</v>
      </c>
      <c r="S443" s="77">
        <f t="shared" si="73"/>
        <v>0</v>
      </c>
    </row>
    <row r="444" spans="1:19" ht="12.75" customHeight="1" x14ac:dyDescent="0.25">
      <c r="A444" s="5"/>
      <c r="C444" s="1" t="s">
        <v>251</v>
      </c>
      <c r="D444" s="1"/>
      <c r="E444" s="30">
        <f t="shared" si="71"/>
        <v>150972.29999999999</v>
      </c>
      <c r="G444" s="52"/>
      <c r="H444" s="51"/>
      <c r="I444" s="52">
        <v>150972.29999999999</v>
      </c>
      <c r="J444" s="51"/>
      <c r="K444" s="52"/>
      <c r="L444" s="51"/>
      <c r="M444" s="52">
        <v>21476</v>
      </c>
      <c r="N444" s="51"/>
      <c r="O444" s="52">
        <v>131551.29999999999</v>
      </c>
      <c r="P444" s="51"/>
      <c r="Q444" s="52">
        <v>2055</v>
      </c>
      <c r="R444" s="49">
        <f t="shared" si="72"/>
        <v>-4110</v>
      </c>
      <c r="S444" s="77">
        <f t="shared" si="73"/>
        <v>0</v>
      </c>
    </row>
    <row r="445" spans="1:19" ht="12.75" customHeight="1" x14ac:dyDescent="0.25">
      <c r="A445" s="5"/>
      <c r="C445" s="1" t="s">
        <v>250</v>
      </c>
      <c r="D445" s="1"/>
      <c r="E445" s="30">
        <f t="shared" si="71"/>
        <v>171800.63</v>
      </c>
      <c r="G445" s="52"/>
      <c r="H445" s="51"/>
      <c r="I445" s="52">
        <v>171800.63</v>
      </c>
      <c r="J445" s="51"/>
      <c r="K445" s="52"/>
      <c r="L445" s="51"/>
      <c r="M445" s="52"/>
      <c r="N445" s="51"/>
      <c r="O445" s="52">
        <v>230737.63</v>
      </c>
      <c r="P445" s="51"/>
      <c r="Q445" s="52">
        <v>58937</v>
      </c>
      <c r="R445" s="49">
        <f t="shared" si="72"/>
        <v>-117874</v>
      </c>
      <c r="S445" s="77">
        <f t="shared" si="73"/>
        <v>0</v>
      </c>
    </row>
    <row r="446" spans="1:19" ht="12.75" customHeight="1" x14ac:dyDescent="0.25">
      <c r="A446" s="5"/>
      <c r="C446" s="1" t="s">
        <v>216</v>
      </c>
      <c r="D446" s="1"/>
      <c r="E446" s="30">
        <f t="shared" si="71"/>
        <v>3298864.53</v>
      </c>
      <c r="G446" s="52">
        <v>280815.84000000003</v>
      </c>
      <c r="H446" s="51"/>
      <c r="I446" s="52">
        <v>3011413.14</v>
      </c>
      <c r="J446" s="51"/>
      <c r="K446" s="52">
        <v>6635.55</v>
      </c>
      <c r="L446" s="51"/>
      <c r="M446" s="52">
        <v>1545913.59</v>
      </c>
      <c r="N446" s="51"/>
      <c r="O446" s="52">
        <v>2794642.06</v>
      </c>
      <c r="P446" s="51"/>
      <c r="Q446" s="52">
        <v>1041691.12</v>
      </c>
      <c r="R446" s="49">
        <f t="shared" si="72"/>
        <v>-2083382.2400000002</v>
      </c>
      <c r="S446" s="77">
        <f t="shared" si="73"/>
        <v>0</v>
      </c>
    </row>
    <row r="447" spans="1:19" ht="12.75" customHeight="1" x14ac:dyDescent="0.25">
      <c r="A447" s="5"/>
      <c r="C447" s="1" t="s">
        <v>245</v>
      </c>
      <c r="D447" s="1"/>
      <c r="E447" s="30">
        <f t="shared" si="71"/>
        <v>-35527.25</v>
      </c>
      <c r="G447" s="52"/>
      <c r="H447" s="51"/>
      <c r="I447" s="52">
        <v>-35527.25</v>
      </c>
      <c r="J447" s="51"/>
      <c r="K447" s="52"/>
      <c r="L447" s="51"/>
      <c r="M447" s="52">
        <v>55991.53</v>
      </c>
      <c r="N447" s="51"/>
      <c r="O447" s="52">
        <v>394274.52</v>
      </c>
      <c r="P447" s="51"/>
      <c r="Q447" s="52">
        <v>485793.3</v>
      </c>
      <c r="R447" s="49">
        <f t="shared" si="72"/>
        <v>-971586.60000000009</v>
      </c>
      <c r="S447" s="77">
        <f t="shared" si="73"/>
        <v>0</v>
      </c>
    </row>
    <row r="448" spans="1:19" ht="12.75" customHeight="1" x14ac:dyDescent="0.25">
      <c r="A448" s="5"/>
      <c r="C448" s="1" t="s">
        <v>217</v>
      </c>
      <c r="D448" s="1"/>
      <c r="E448" s="30">
        <f t="shared" si="71"/>
        <v>17991491.530000001</v>
      </c>
      <c r="G448" s="52"/>
      <c r="H448" s="51"/>
      <c r="I448" s="52">
        <v>17991491.530000001</v>
      </c>
      <c r="J448" s="51"/>
      <c r="K448" s="52"/>
      <c r="L448" s="51"/>
      <c r="M448" s="52">
        <v>5439302.9699999997</v>
      </c>
      <c r="N448" s="51"/>
      <c r="O448" s="52">
        <v>13120126.560000001</v>
      </c>
      <c r="P448" s="51"/>
      <c r="Q448" s="52">
        <v>567938</v>
      </c>
      <c r="R448" s="49">
        <f t="shared" si="72"/>
        <v>-1135875.9999999981</v>
      </c>
      <c r="S448" s="77">
        <f t="shared" si="73"/>
        <v>1.862645149230957E-9</v>
      </c>
    </row>
    <row r="449" spans="1:19" ht="12.75" customHeight="1" x14ac:dyDescent="0.25">
      <c r="A449" s="5"/>
      <c r="C449" s="1" t="s">
        <v>249</v>
      </c>
      <c r="D449" s="1"/>
      <c r="E449" s="30">
        <f t="shared" si="71"/>
        <v>358649.83</v>
      </c>
      <c r="G449" s="52"/>
      <c r="H449" s="51"/>
      <c r="I449" s="52">
        <v>358649.83</v>
      </c>
      <c r="J449" s="51"/>
      <c r="K449" s="52"/>
      <c r="L449" s="51"/>
      <c r="M449" s="52">
        <v>238794.88</v>
      </c>
      <c r="N449" s="51"/>
      <c r="O449" s="52">
        <v>119854.95</v>
      </c>
      <c r="P449" s="51"/>
      <c r="Q449" s="52"/>
      <c r="R449" s="49">
        <f t="shared" si="72"/>
        <v>1.4551915228366852E-11</v>
      </c>
      <c r="S449" s="77">
        <f t="shared" si="73"/>
        <v>1.4551915228366852E-11</v>
      </c>
    </row>
    <row r="450" spans="1:19" ht="12.75" customHeight="1" x14ac:dyDescent="0.25">
      <c r="A450" s="5"/>
      <c r="C450" s="1" t="s">
        <v>100</v>
      </c>
      <c r="D450" s="1"/>
      <c r="E450" s="54">
        <f>G450+I450+K450</f>
        <v>258202.05</v>
      </c>
      <c r="G450" s="53">
        <v>12281.75</v>
      </c>
      <c r="H450" s="51"/>
      <c r="I450" s="53">
        <v>245920.3</v>
      </c>
      <c r="J450" s="51"/>
      <c r="K450" s="53"/>
      <c r="L450" s="51"/>
      <c r="M450" s="53">
        <v>266522.65999999997</v>
      </c>
      <c r="N450" s="51"/>
      <c r="O450" s="53">
        <v>-8320.61</v>
      </c>
      <c r="P450" s="51"/>
      <c r="Q450" s="53"/>
      <c r="R450" s="49">
        <f>E450-M450-O450-Q450</f>
        <v>1.4551915228366852E-11</v>
      </c>
      <c r="S450" s="77">
        <f t="shared" si="73"/>
        <v>1.4551915228366852E-11</v>
      </c>
    </row>
    <row r="451" spans="1:19" ht="12.75" customHeight="1" x14ac:dyDescent="0.25">
      <c r="A451" s="33"/>
      <c r="G451" s="30" t="s">
        <v>19</v>
      </c>
    </row>
    <row r="452" spans="1:19" ht="12.75" customHeight="1" x14ac:dyDescent="0.25">
      <c r="A452" s="5"/>
      <c r="B452" s="5"/>
      <c r="C452" s="5"/>
      <c r="D452" s="1" t="s">
        <v>2</v>
      </c>
      <c r="E452" s="6">
        <f>G452+I452+K452</f>
        <v>24794439.239999998</v>
      </c>
      <c r="G452" s="6">
        <f>SUM(G441:G450)</f>
        <v>298839</v>
      </c>
      <c r="H452" s="6"/>
      <c r="I452" s="6">
        <f>SUM(I441:I450)</f>
        <v>24526953.27</v>
      </c>
      <c r="K452" s="6">
        <f>SUM(K441:K450)</f>
        <v>-31353.030000000002</v>
      </c>
      <c r="M452" s="6">
        <f>SUM(M441:M450)</f>
        <v>9970767.3600000013</v>
      </c>
      <c r="O452" s="6">
        <f>SUM(O441:O450)</f>
        <v>18347333.800000001</v>
      </c>
      <c r="Q452" s="6">
        <f>SUM(Q441:Q450)</f>
        <v>3523661.92</v>
      </c>
      <c r="R452" s="49">
        <f>E452-G452-I452-K452</f>
        <v>-1.1896190699189901E-9</v>
      </c>
      <c r="S452" s="77">
        <f>E452-M452-O452+Q452</f>
        <v>-3.7252902984619141E-9</v>
      </c>
    </row>
    <row r="453" spans="1:19" ht="12.75" customHeight="1" x14ac:dyDescent="0.25">
      <c r="A453" s="5"/>
      <c r="B453" s="5"/>
      <c r="C453" s="5"/>
      <c r="D453" s="1"/>
      <c r="E453" s="34"/>
      <c r="G453" s="34"/>
      <c r="H453" s="34"/>
      <c r="I453" s="34"/>
      <c r="K453" s="34"/>
      <c r="M453" s="34"/>
      <c r="O453" s="34"/>
      <c r="Q453" s="34"/>
      <c r="R453" s="49"/>
    </row>
    <row r="454" spans="1:19" ht="12.75" customHeight="1" x14ac:dyDescent="0.25">
      <c r="A454" s="5"/>
      <c r="B454" s="5"/>
      <c r="C454" s="5"/>
      <c r="D454" s="1" t="s">
        <v>218</v>
      </c>
      <c r="E454" s="53">
        <f>E438+E452</f>
        <v>91927706.349999994</v>
      </c>
      <c r="G454" s="53">
        <f>G438+G452</f>
        <v>369960.15</v>
      </c>
      <c r="H454" s="51"/>
      <c r="I454" s="53">
        <f>I438+I452</f>
        <v>91495852.370000005</v>
      </c>
      <c r="J454" s="7"/>
      <c r="K454" s="53">
        <f>K438+K452</f>
        <v>61893.83</v>
      </c>
      <c r="L454" s="51"/>
      <c r="M454" s="53">
        <f>M438+M452</f>
        <v>37869641.230000004</v>
      </c>
      <c r="N454" s="51"/>
      <c r="O454" s="53">
        <f>O438+O452</f>
        <v>57532980.040000007</v>
      </c>
      <c r="P454" s="7"/>
      <c r="Q454" s="53">
        <f>Q438+Q452</f>
        <v>3474914.92</v>
      </c>
      <c r="R454" s="49">
        <f>E454-M454-O454-Q454</f>
        <v>-6949829.8400000166</v>
      </c>
      <c r="S454" s="77">
        <f>E454-M454-O454+Q454</f>
        <v>-1.6763806343078613E-8</v>
      </c>
    </row>
    <row r="455" spans="1:19" ht="12.75" customHeight="1" x14ac:dyDescent="0.25">
      <c r="A455" s="5"/>
      <c r="B455" s="5"/>
      <c r="C455" s="33"/>
      <c r="D455" s="33"/>
    </row>
    <row r="456" spans="1:19" ht="12.75" customHeight="1" x14ac:dyDescent="0.25">
      <c r="A456" s="31" t="s">
        <v>303</v>
      </c>
      <c r="B456" s="5"/>
      <c r="C456" s="33"/>
      <c r="D456" s="33"/>
      <c r="E456" s="6">
        <f t="shared" ref="E456" si="74">SUM(G456:K456)</f>
        <v>0</v>
      </c>
      <c r="G456" s="6">
        <v>3535970.73</v>
      </c>
      <c r="I456" s="6">
        <v>-4739611.2300000004</v>
      </c>
      <c r="K456" s="6">
        <v>1203640.5</v>
      </c>
      <c r="M456" s="83" t="s">
        <v>19</v>
      </c>
      <c r="O456" s="83" t="s">
        <v>19</v>
      </c>
      <c r="Q456" s="6"/>
      <c r="R456" s="49">
        <f t="shared" ref="R456" si="75">E456-M456-O456-Q456</f>
        <v>0</v>
      </c>
      <c r="S456" s="77">
        <f t="shared" ref="S456" si="76">E456-M456-O456+Q456</f>
        <v>0</v>
      </c>
    </row>
    <row r="457" spans="1:19" ht="12.75" customHeight="1" x14ac:dyDescent="0.25">
      <c r="A457" s="5"/>
      <c r="B457" s="5"/>
      <c r="C457" s="33"/>
      <c r="D457" s="33"/>
    </row>
    <row r="458" spans="1:19" ht="12.75" customHeight="1" x14ac:dyDescent="0.25">
      <c r="A458" s="31" t="s">
        <v>200</v>
      </c>
      <c r="E458" s="6">
        <f>G458+I458+K458</f>
        <v>157555893.06</v>
      </c>
      <c r="G458" s="53">
        <f>127575+4384601.56+5205.58+1856160.55</f>
        <v>6373542.6899999995</v>
      </c>
      <c r="H458" s="51"/>
      <c r="I458" s="53">
        <f>988425+12902013.72+2088265.78+78154561.09+7498938</f>
        <v>101632203.59</v>
      </c>
      <c r="J458" s="51"/>
      <c r="K458" s="53">
        <f>1443660.34+4913469.21+166353.91+43026663.32</f>
        <v>49550146.780000001</v>
      </c>
      <c r="L458" s="51"/>
      <c r="M458" s="53"/>
      <c r="N458" s="51"/>
      <c r="O458" s="53">
        <f>2559660.34+22200084.49+2259825.27+123037384.96+7498938</f>
        <v>157555893.06</v>
      </c>
      <c r="P458" s="51"/>
      <c r="Q458" s="53"/>
      <c r="R458" s="49">
        <f>E458-M458-O458-Q458</f>
        <v>0</v>
      </c>
      <c r="S458" s="77">
        <f>E458-M458-O458+Q458</f>
        <v>0</v>
      </c>
    </row>
    <row r="459" spans="1:19" ht="12.75" customHeight="1" x14ac:dyDescent="0.25">
      <c r="A459" s="31"/>
      <c r="E459" s="34"/>
      <c r="G459" s="39"/>
      <c r="H459" s="37"/>
      <c r="I459" s="39"/>
      <c r="J459" s="37"/>
      <c r="K459" s="39"/>
      <c r="L459" s="37"/>
      <c r="M459" s="39"/>
      <c r="N459" s="37"/>
      <c r="O459" s="39"/>
      <c r="P459" s="37"/>
      <c r="Q459" s="39"/>
    </row>
    <row r="460" spans="1:19" ht="12.75" customHeight="1" x14ac:dyDescent="0.25">
      <c r="A460" s="31"/>
      <c r="C460" s="1" t="s">
        <v>234</v>
      </c>
      <c r="D460" s="1"/>
      <c r="E460" s="54">
        <f>G460+I460+K460</f>
        <v>-79255466</v>
      </c>
      <c r="G460" s="53">
        <v>0</v>
      </c>
      <c r="H460" s="51"/>
      <c r="I460" s="53">
        <v>-79255466</v>
      </c>
      <c r="J460" s="51"/>
      <c r="K460" s="53" t="s">
        <v>19</v>
      </c>
      <c r="L460" s="51"/>
      <c r="M460" s="53">
        <v>0</v>
      </c>
      <c r="N460" s="51"/>
      <c r="O460" s="53">
        <v>-79255466</v>
      </c>
      <c r="P460" s="51"/>
      <c r="Q460" s="53">
        <v>0</v>
      </c>
      <c r="R460" s="49">
        <f>E460-M460-O460-Q460</f>
        <v>0</v>
      </c>
      <c r="S460" s="77">
        <f>E460-M460-O460+Q460</f>
        <v>0</v>
      </c>
    </row>
    <row r="461" spans="1:19" ht="12.75" customHeight="1" x14ac:dyDescent="0.25">
      <c r="A461" s="31"/>
      <c r="E461" s="34"/>
      <c r="G461" s="39"/>
      <c r="H461" s="37"/>
      <c r="I461" s="39"/>
      <c r="J461" s="37"/>
      <c r="K461" s="39"/>
      <c r="L461" s="37"/>
      <c r="M461" s="39"/>
      <c r="N461" s="37"/>
      <c r="O461" s="39"/>
      <c r="P461" s="37"/>
      <c r="Q461" s="39"/>
    </row>
    <row r="462" spans="1:19" ht="12.75" customHeight="1" x14ac:dyDescent="0.25">
      <c r="A462" s="31"/>
      <c r="D462" s="1" t="s">
        <v>233</v>
      </c>
      <c r="E462" s="6">
        <f>SUM(E458:E460)</f>
        <v>78300427.060000002</v>
      </c>
      <c r="G462" s="6">
        <f>SUM(G458:G460)</f>
        <v>6373542.6899999995</v>
      </c>
      <c r="I462" s="6">
        <f>SUM(I458:I460)</f>
        <v>22376737.590000004</v>
      </c>
      <c r="K462" s="6">
        <f>SUM(K458:K460)</f>
        <v>49550146.780000001</v>
      </c>
      <c r="M462" s="6">
        <f>SUM(M458:M460)</f>
        <v>0</v>
      </c>
      <c r="O462" s="6">
        <f>SUM(O458:O460)</f>
        <v>78300427.060000002</v>
      </c>
      <c r="Q462" s="6">
        <f>SUM(Q458:Q460)</f>
        <v>0</v>
      </c>
      <c r="R462" s="49">
        <f>E462-G462-I462-K462</f>
        <v>0</v>
      </c>
      <c r="S462" s="77">
        <f>E462-M462-O462+Q462</f>
        <v>0</v>
      </c>
    </row>
    <row r="463" spans="1:19" ht="12.75" customHeight="1" x14ac:dyDescent="0.25">
      <c r="A463" s="38"/>
    </row>
    <row r="464" spans="1:19" ht="12.75" customHeight="1" x14ac:dyDescent="0.25">
      <c r="A464" s="5"/>
      <c r="B464" s="5"/>
      <c r="C464" s="5"/>
      <c r="D464" s="1" t="s">
        <v>256</v>
      </c>
      <c r="E464" s="6">
        <f>E456+E454+E462+E329+E418+E367+E291+E301+E309+E213+E201+E181+E178+E67+E30+E14+E193+E205</f>
        <v>837862035.2700001</v>
      </c>
      <c r="G464" s="6">
        <f>G456+G454+G462+G329+G418+G367+G291+G301+G309+G213+G201+G181+G178+G67+G30+G14+G193+G205</f>
        <v>253603855.15999997</v>
      </c>
      <c r="H464" s="8"/>
      <c r="I464" s="6">
        <f>I456+I454+I462+I329+I418+I367+I291+I301+I309+I213+I201+I181+I178+I67+I30+I14+I193+I205</f>
        <v>375424170.64999992</v>
      </c>
      <c r="J464" s="7"/>
      <c r="K464" s="6">
        <f>K456+K454+K462+K329+K418+K367+K291+K301+K309+K213+K201+K181+K178+K67+K30+K14+K193+K205</f>
        <v>208834009.46000001</v>
      </c>
      <c r="L464" s="7"/>
      <c r="M464" s="6">
        <f>M456+M454+M462+M329+M418+M367+M291+M301+M309+M213+M201+M181+M178+M67+M30+M14+M193+M205</f>
        <v>430908308.51499999</v>
      </c>
      <c r="N464" s="7"/>
      <c r="O464" s="6">
        <f>O456+O454+O462+O329+O418+O367+O291+O301+O309+O213+O201+O181+O178+O67+O30+O14+O193+O205</f>
        <v>506310188.9000001</v>
      </c>
      <c r="P464" s="7"/>
      <c r="Q464" s="6">
        <f>Q456+Q454+Q462+Q329+Q418+Q367+Q291+Q301+Q309+Q213+Q201+Q181+Q178+Q67+Q30+Q14+Q193+Q205</f>
        <v>99356462.13000001</v>
      </c>
      <c r="R464" s="49">
        <f>E464-G464-I464-K464</f>
        <v>0</v>
      </c>
      <c r="S464" s="77">
        <f>E464-M464-O464+Q464</f>
        <v>-1.499997079372406E-2</v>
      </c>
    </row>
    <row r="465" spans="1:19" ht="12.75" customHeight="1" x14ac:dyDescent="0.25">
      <c r="A465" s="33"/>
    </row>
    <row r="466" spans="1:19" ht="12.75" customHeight="1" x14ac:dyDescent="0.25">
      <c r="C466" s="1" t="s">
        <v>235</v>
      </c>
      <c r="D466" s="1"/>
      <c r="E466" s="54">
        <f>G466+I466+K466</f>
        <v>11091550.160000004</v>
      </c>
      <c r="G466" s="53">
        <f>G483</f>
        <v>17693946.640000004</v>
      </c>
      <c r="H466" s="51"/>
      <c r="I466" s="53">
        <f>I483</f>
        <v>467320.06000000006</v>
      </c>
      <c r="J466" s="51"/>
      <c r="K466" s="53">
        <f>K483</f>
        <v>-7069716.54</v>
      </c>
      <c r="L466" s="51"/>
      <c r="M466" s="53">
        <f>M483</f>
        <v>18424359.960000001</v>
      </c>
      <c r="N466" s="51"/>
      <c r="O466" s="53">
        <f>O483</f>
        <v>-7332809.8000000007</v>
      </c>
      <c r="P466" s="51"/>
      <c r="Q466" s="53">
        <f>Q483</f>
        <v>0</v>
      </c>
      <c r="R466" s="49">
        <f>E466-M466-O466-Q466</f>
        <v>3.7252902984619141E-9</v>
      </c>
      <c r="S466" s="77">
        <f>E466-M466-O466+Q466</f>
        <v>3.7252902984619141E-9</v>
      </c>
    </row>
    <row r="467" spans="1:19" ht="12.75" customHeight="1" x14ac:dyDescent="0.25">
      <c r="C467" s="1"/>
      <c r="D467" s="1"/>
      <c r="E467" s="34"/>
      <c r="F467" s="40"/>
      <c r="G467" s="52"/>
      <c r="H467" s="51"/>
      <c r="I467" s="52"/>
      <c r="J467" s="51"/>
      <c r="K467" s="52"/>
      <c r="L467" s="51"/>
      <c r="M467" s="52"/>
      <c r="N467" s="51"/>
      <c r="O467" s="52"/>
      <c r="P467" s="51"/>
      <c r="Q467" s="52"/>
      <c r="R467" s="49"/>
      <c r="S467" s="77"/>
    </row>
    <row r="468" spans="1:19" ht="12.75" customHeight="1" x14ac:dyDescent="0.25">
      <c r="A468" s="5"/>
      <c r="B468" s="95" t="s">
        <v>290</v>
      </c>
      <c r="C468" s="5"/>
      <c r="D468" s="1"/>
      <c r="E468" s="6">
        <f>G468+I468+K468</f>
        <v>15532846</v>
      </c>
      <c r="G468" s="6">
        <v>0</v>
      </c>
      <c r="H468" s="6"/>
      <c r="I468" s="6">
        <v>15532846</v>
      </c>
      <c r="K468" s="6">
        <v>0</v>
      </c>
      <c r="M468" s="6">
        <v>0</v>
      </c>
      <c r="O468" s="6">
        <v>15532846</v>
      </c>
      <c r="Q468" s="6">
        <v>0</v>
      </c>
      <c r="R468" s="71"/>
      <c r="S468" s="78">
        <f>E468-M468-O468+Q468</f>
        <v>0</v>
      </c>
    </row>
    <row r="469" spans="1:19" ht="12.75" customHeight="1" x14ac:dyDescent="0.25">
      <c r="A469" s="5"/>
      <c r="B469" s="33"/>
    </row>
    <row r="470" spans="1:19" ht="12.75" customHeight="1" x14ac:dyDescent="0.25">
      <c r="D470" s="25"/>
    </row>
    <row r="471" spans="1:19" ht="13.8" thickBot="1" x14ac:dyDescent="0.3">
      <c r="D471" s="1" t="s">
        <v>220</v>
      </c>
      <c r="E471" s="45">
        <f>+E464+E466+E468</f>
        <v>864486431.43000007</v>
      </c>
      <c r="G471" s="45">
        <f>+G464+G466+G468</f>
        <v>271297801.79999995</v>
      </c>
      <c r="H471" s="37"/>
      <c r="I471" s="45">
        <f>+I464+I466+I468</f>
        <v>391424336.70999992</v>
      </c>
      <c r="J471" s="37"/>
      <c r="K471" s="84">
        <f>+K464+K466+K468</f>
        <v>201764292.92000002</v>
      </c>
      <c r="L471" s="37"/>
      <c r="M471" s="45">
        <f>+M464+M466+M468</f>
        <v>449332668.47499996</v>
      </c>
      <c r="N471" s="37"/>
      <c r="O471" s="85">
        <f>+O464+O466+O468</f>
        <v>514510225.10000008</v>
      </c>
      <c r="P471" s="37"/>
      <c r="Q471" s="45">
        <f>+Q464+Q466+Q468</f>
        <v>99356462.13000001</v>
      </c>
      <c r="R471" s="49">
        <f>E471-G471-I471-K471</f>
        <v>0</v>
      </c>
      <c r="S471" s="77">
        <f>E471-M471-O471+Q471</f>
        <v>-1.499997079372406E-2</v>
      </c>
    </row>
    <row r="472" spans="1:19" s="86" customFormat="1" ht="12.75" customHeight="1" thickTop="1" x14ac:dyDescent="0.25">
      <c r="D472" s="87" t="s">
        <v>304</v>
      </c>
      <c r="E472" s="88">
        <f>863606188-E471</f>
        <v>-880243.43000006676</v>
      </c>
      <c r="F472" s="89"/>
      <c r="G472" s="90">
        <f>271297801.8-G471</f>
        <v>0</v>
      </c>
      <c r="H472" s="91"/>
      <c r="I472" s="90">
        <f>390544093.28-I471</f>
        <v>-880243.42999994755</v>
      </c>
      <c r="J472" s="91"/>
      <c r="K472" s="90">
        <f>201764292.92-K471</f>
        <v>0</v>
      </c>
      <c r="L472" s="91"/>
      <c r="M472" s="90">
        <f>449196270.11-M471</f>
        <v>-136398.36499994993</v>
      </c>
      <c r="N472" s="91"/>
      <c r="O472" s="92">
        <f>513766380.02-O471</f>
        <v>-743845.08000010252</v>
      </c>
      <c r="P472" s="91"/>
      <c r="Q472" s="93">
        <f>99356462.13-Q471</f>
        <v>0</v>
      </c>
      <c r="S472" s="94"/>
    </row>
    <row r="474" spans="1:19" s="63" customFormat="1" ht="12.75" customHeight="1" x14ac:dyDescent="0.25">
      <c r="A474" s="56"/>
      <c r="B474" s="57"/>
      <c r="C474" s="1" t="s">
        <v>235</v>
      </c>
      <c r="D474" s="58"/>
      <c r="E474" s="64"/>
      <c r="F474" s="59"/>
      <c r="G474" s="60"/>
      <c r="H474" s="61"/>
      <c r="I474" s="60"/>
      <c r="J474" s="61"/>
      <c r="K474" s="60"/>
      <c r="L474" s="61"/>
      <c r="M474" s="60"/>
      <c r="N474" s="61"/>
      <c r="O474" s="60"/>
      <c r="P474" s="61"/>
      <c r="Q474" s="60"/>
      <c r="R474" s="62"/>
      <c r="S474" s="79"/>
    </row>
    <row r="475" spans="1:19" s="63" customFormat="1" ht="12.75" customHeight="1" x14ac:dyDescent="0.25">
      <c r="A475" s="56"/>
      <c r="B475" s="57"/>
      <c r="D475" s="72">
        <v>404093</v>
      </c>
      <c r="E475" s="30">
        <f t="shared" ref="E475:E482" si="77">SUM(G475:K475)</f>
        <v>-556567.02</v>
      </c>
      <c r="F475" s="7"/>
      <c r="G475" s="52">
        <v>803538.04</v>
      </c>
      <c r="H475" s="51"/>
      <c r="I475" s="52">
        <v>-1024548.73</v>
      </c>
      <c r="J475" s="51"/>
      <c r="K475" s="52">
        <v>-335556.33</v>
      </c>
      <c r="L475" s="51"/>
      <c r="M475" s="52"/>
      <c r="N475" s="51"/>
      <c r="O475" s="52">
        <v>-556567.02</v>
      </c>
      <c r="P475" s="51"/>
      <c r="Q475" s="52"/>
      <c r="R475" s="49">
        <f t="shared" ref="R475:R482" si="78">E475-M475-O475-Q475</f>
        <v>0</v>
      </c>
      <c r="S475" s="77">
        <f t="shared" ref="S475:S482" si="79">E475-M475-O475+Q475</f>
        <v>0</v>
      </c>
    </row>
    <row r="476" spans="1:19" s="63" customFormat="1" ht="12.75" customHeight="1" x14ac:dyDescent="0.25">
      <c r="A476" s="56"/>
      <c r="B476" s="57"/>
      <c r="D476" s="72">
        <v>447698</v>
      </c>
      <c r="E476" s="30">
        <f t="shared" si="77"/>
        <v>-3961732.77</v>
      </c>
      <c r="F476" s="7"/>
      <c r="G476" s="52">
        <v>1650544.77</v>
      </c>
      <c r="H476" s="51"/>
      <c r="I476" s="52">
        <v>858941.67</v>
      </c>
      <c r="J476" s="51"/>
      <c r="K476" s="52">
        <v>-6471219.21</v>
      </c>
      <c r="L476" s="51"/>
      <c r="M476" s="52"/>
      <c r="N476" s="51"/>
      <c r="O476" s="52">
        <v>-3961732.77</v>
      </c>
      <c r="P476" s="51"/>
      <c r="Q476" s="52"/>
      <c r="R476" s="49">
        <f t="shared" si="78"/>
        <v>0</v>
      </c>
      <c r="S476" s="77">
        <f t="shared" si="79"/>
        <v>0</v>
      </c>
    </row>
    <row r="477" spans="1:19" s="63" customFormat="1" ht="12.75" customHeight="1" x14ac:dyDescent="0.25">
      <c r="A477" s="57"/>
      <c r="B477" s="56"/>
      <c r="D477" s="72">
        <v>437701</v>
      </c>
      <c r="E477" s="30">
        <f t="shared" si="77"/>
        <v>13292737.579999998</v>
      </c>
      <c r="F477" s="7"/>
      <c r="G477" s="52">
        <v>13782744.359999999</v>
      </c>
      <c r="H477" s="51"/>
      <c r="I477" s="52">
        <v>-291847.71000000002</v>
      </c>
      <c r="J477" s="51"/>
      <c r="K477" s="52">
        <v>-198159.07</v>
      </c>
      <c r="L477" s="51"/>
      <c r="M477" s="52">
        <v>18424359.960000001</v>
      </c>
      <c r="N477" s="51"/>
      <c r="O477" s="52">
        <v>-5131622.38</v>
      </c>
      <c r="P477" s="51"/>
      <c r="Q477" s="52"/>
      <c r="R477" s="49">
        <f t="shared" si="78"/>
        <v>-2.7939677238464355E-9</v>
      </c>
      <c r="S477" s="77">
        <f t="shared" si="79"/>
        <v>-2.7939677238464355E-9</v>
      </c>
    </row>
    <row r="478" spans="1:19" s="63" customFormat="1" ht="12.75" customHeight="1" x14ac:dyDescent="0.25">
      <c r="A478" s="56"/>
      <c r="D478" s="72">
        <v>628098</v>
      </c>
      <c r="E478" s="30">
        <f t="shared" si="77"/>
        <v>153113.32999999999</v>
      </c>
      <c r="F478" s="7"/>
      <c r="G478" s="52">
        <v>83204.399999999994</v>
      </c>
      <c r="H478" s="51"/>
      <c r="I478" s="52">
        <v>69908.929999999993</v>
      </c>
      <c r="J478" s="51"/>
      <c r="K478" s="52"/>
      <c r="L478" s="51"/>
      <c r="M478" s="52"/>
      <c r="N478" s="51"/>
      <c r="O478" s="52">
        <v>153113.32999999999</v>
      </c>
      <c r="P478" s="51"/>
      <c r="Q478" s="52"/>
      <c r="R478" s="49">
        <f t="shared" si="78"/>
        <v>0</v>
      </c>
      <c r="S478" s="77">
        <f t="shared" si="79"/>
        <v>0</v>
      </c>
    </row>
    <row r="479" spans="1:19" s="63" customFormat="1" ht="12.75" customHeight="1" x14ac:dyDescent="0.25">
      <c r="A479" s="57"/>
      <c r="D479" s="72">
        <v>649989</v>
      </c>
      <c r="E479" s="30">
        <f t="shared" si="77"/>
        <v>497577.99</v>
      </c>
      <c r="F479" s="7"/>
      <c r="G479" s="52">
        <v>660517.28</v>
      </c>
      <c r="H479" s="51"/>
      <c r="I479" s="52">
        <v>-162939.29</v>
      </c>
      <c r="J479" s="51"/>
      <c r="K479" s="52"/>
      <c r="L479" s="51"/>
      <c r="M479" s="52"/>
      <c r="N479" s="51"/>
      <c r="O479" s="52">
        <v>497577.99</v>
      </c>
      <c r="P479" s="51"/>
      <c r="Q479" s="52"/>
      <c r="R479" s="49">
        <f t="shared" si="78"/>
        <v>0</v>
      </c>
      <c r="S479" s="77">
        <f t="shared" si="79"/>
        <v>0</v>
      </c>
    </row>
    <row r="480" spans="1:19" s="63" customFormat="1" ht="12.75" customHeight="1" x14ac:dyDescent="0.25">
      <c r="A480" s="57"/>
      <c r="D480" s="72">
        <v>689996</v>
      </c>
      <c r="E480" s="30">
        <f t="shared" si="77"/>
        <v>311778.36000000004</v>
      </c>
      <c r="F480" s="7"/>
      <c r="G480" s="52">
        <v>-714.97</v>
      </c>
      <c r="H480" s="51"/>
      <c r="I480" s="52">
        <v>377275.26</v>
      </c>
      <c r="J480" s="51"/>
      <c r="K480" s="52">
        <v>-64781.93</v>
      </c>
      <c r="L480" s="51"/>
      <c r="M480" s="52"/>
      <c r="N480" s="51"/>
      <c r="O480" s="52">
        <v>311778.36</v>
      </c>
      <c r="P480" s="51"/>
      <c r="Q480" s="52"/>
      <c r="R480" s="49">
        <f t="shared" si="78"/>
        <v>5.8207660913467407E-11</v>
      </c>
      <c r="S480" s="77">
        <f t="shared" si="79"/>
        <v>5.8207660913467407E-11</v>
      </c>
    </row>
    <row r="481" spans="1:19" s="63" customFormat="1" ht="12.75" customHeight="1" x14ac:dyDescent="0.25">
      <c r="A481" s="57"/>
      <c r="D481" s="72">
        <v>727786</v>
      </c>
      <c r="E481" s="30">
        <f t="shared" si="77"/>
        <v>-462899.25</v>
      </c>
      <c r="F481" s="7"/>
      <c r="G481" s="52">
        <v>714112.76</v>
      </c>
      <c r="H481" s="51"/>
      <c r="I481" s="52">
        <v>-1177012.01</v>
      </c>
      <c r="J481" s="51"/>
      <c r="K481" s="52"/>
      <c r="L481" s="51"/>
      <c r="M481" s="52"/>
      <c r="N481" s="51"/>
      <c r="O481" s="52">
        <v>-462899.25</v>
      </c>
      <c r="P481" s="51"/>
      <c r="Q481" s="52"/>
      <c r="R481" s="49">
        <f t="shared" si="78"/>
        <v>0</v>
      </c>
      <c r="S481" s="77">
        <f t="shared" si="79"/>
        <v>0</v>
      </c>
    </row>
    <row r="482" spans="1:19" ht="12.75" customHeight="1" x14ac:dyDescent="0.25">
      <c r="D482" s="72">
        <v>768998</v>
      </c>
      <c r="E482" s="30">
        <f t="shared" si="77"/>
        <v>1817541.94</v>
      </c>
      <c r="G482" s="52"/>
      <c r="H482" s="51"/>
      <c r="I482" s="52">
        <v>1817541.94</v>
      </c>
      <c r="J482" s="51"/>
      <c r="K482" s="52"/>
      <c r="L482" s="51"/>
      <c r="M482" s="52"/>
      <c r="N482" s="51"/>
      <c r="O482" s="52">
        <v>1817541.94</v>
      </c>
      <c r="P482" s="51"/>
      <c r="Q482" s="52"/>
      <c r="R482" s="49">
        <f t="shared" si="78"/>
        <v>0</v>
      </c>
      <c r="S482" s="77">
        <f t="shared" si="79"/>
        <v>0</v>
      </c>
    </row>
    <row r="483" spans="1:19" ht="12.75" customHeight="1" x14ac:dyDescent="0.25">
      <c r="A483" s="31"/>
      <c r="E483" s="10">
        <f>SUM(E475:E482)</f>
        <v>11091550.159999998</v>
      </c>
      <c r="G483" s="10">
        <f>SUM(G475:G482)</f>
        <v>17693946.640000004</v>
      </c>
      <c r="I483" s="10">
        <f>SUM(I475:I482)</f>
        <v>467320.06000000006</v>
      </c>
      <c r="J483" s="7"/>
      <c r="K483" s="10">
        <f>SUM(K475:K482)</f>
        <v>-7069716.54</v>
      </c>
      <c r="M483" s="10">
        <f>SUM(M475:M482)</f>
        <v>18424359.960000001</v>
      </c>
      <c r="O483" s="10">
        <f>SUM(O475:O482)</f>
        <v>-7332809.8000000007</v>
      </c>
      <c r="P483" s="7"/>
      <c r="Q483" s="10">
        <f>SUM(Q475:Q482)</f>
        <v>0</v>
      </c>
    </row>
    <row r="484" spans="1:19" ht="12.75" customHeight="1" x14ac:dyDescent="0.25">
      <c r="D484" s="70"/>
      <c r="E484" s="49"/>
      <c r="F484" s="40"/>
      <c r="G484" s="52"/>
      <c r="H484" s="51"/>
      <c r="I484" s="52"/>
      <c r="J484" s="51"/>
      <c r="K484" s="52"/>
      <c r="L484" s="51"/>
      <c r="M484" s="52"/>
      <c r="N484" s="51"/>
      <c r="O484" s="52"/>
      <c r="P484" s="51"/>
      <c r="Q484" s="52"/>
      <c r="R484" s="49"/>
    </row>
    <row r="485" spans="1:19" ht="12.75" customHeight="1" x14ac:dyDescent="0.25">
      <c r="D485" s="70"/>
      <c r="E485" s="49"/>
      <c r="F485" s="40"/>
      <c r="G485" s="52"/>
      <c r="H485" s="51"/>
      <c r="I485" s="52"/>
      <c r="J485" s="51"/>
      <c r="K485" s="52"/>
      <c r="L485" s="51"/>
      <c r="M485" s="52"/>
      <c r="N485" s="51"/>
      <c r="O485" s="52"/>
      <c r="P485" s="51"/>
      <c r="Q485" s="52"/>
      <c r="R485" s="49"/>
    </row>
    <row r="486" spans="1:19" ht="12.75" customHeight="1" x14ac:dyDescent="0.25">
      <c r="D486" s="70"/>
      <c r="E486" s="49"/>
      <c r="F486" s="40"/>
      <c r="G486" s="52"/>
      <c r="H486" s="51"/>
      <c r="I486" s="52"/>
      <c r="J486" s="51"/>
      <c r="K486" s="52"/>
      <c r="L486" s="51"/>
      <c r="M486" s="52"/>
      <c r="N486" s="51"/>
      <c r="O486" s="52"/>
      <c r="P486" s="51"/>
      <c r="Q486" s="52"/>
      <c r="R486" s="49"/>
    </row>
    <row r="487" spans="1:19" ht="12.75" customHeight="1" x14ac:dyDescent="0.25">
      <c r="D487" s="70"/>
      <c r="E487" s="49"/>
      <c r="F487" s="40"/>
      <c r="G487" s="52"/>
      <c r="H487" s="51"/>
      <c r="I487" s="52"/>
      <c r="J487" s="51"/>
      <c r="K487" s="52"/>
      <c r="L487" s="51"/>
      <c r="M487" s="52"/>
      <c r="N487" s="51"/>
      <c r="O487" s="52"/>
      <c r="P487" s="51"/>
      <c r="Q487" s="52"/>
      <c r="R487" s="49"/>
    </row>
    <row r="488" spans="1:19" ht="12.75" customHeight="1" x14ac:dyDescent="0.25">
      <c r="J488" s="7"/>
      <c r="P488" s="7"/>
    </row>
  </sheetData>
  <phoneticPr fontId="0" type="noConversion"/>
  <printOptions horizontalCentered="1"/>
  <pageMargins left="1" right="1" top="1" bottom="1" header="0.5" footer="0.5"/>
  <pageSetup scale="65" fitToHeight="0" pageOrder="overThenDown" orientation="portrait" r:id="rId1"/>
  <headerFooter alignWithMargins="0">
    <oddHeader>&amp;L
&amp;"Times New Roman,Regular"
   (Dollars in Thousands)&amp;C&amp;"Times New Roman,Regular"
Santa Barbara
CURRENT FUNDS EXPENDITURES BY DEPARTMENT&amp;R
2014-15&amp;"Times New Roman,Regular" Schedule 11-C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19EDF1BBEFEE43994B8A2B22BFFB60" ma:contentTypeVersion="1" ma:contentTypeDescription="Create a new document." ma:contentTypeScope="" ma:versionID="260929bb982c1171f16d115b0a506c79">
  <xsd:schema xmlns:xsd="http://www.w3.org/2001/XMLSchema" xmlns:xs="http://www.w3.org/2001/XMLSchema" xmlns:p="http://schemas.microsoft.com/office/2006/metadata/properties" xmlns:ns2="e5d696f6-74b1-4f30-8462-da8ad83e9c1d" targetNamespace="http://schemas.microsoft.com/office/2006/metadata/properties" ma:root="true" ma:fieldsID="16bb81b0dc3d4dc9639ab38375753f24" ns2:_="">
    <xsd:import namespace="e5d696f6-74b1-4f30-8462-da8ad83e9c1d"/>
    <xsd:element name="properties">
      <xsd:complexType>
        <xsd:sequence>
          <xsd:element name="documentManagement">
            <xsd:complexType>
              <xsd:all>
                <xsd:element ref="ns2:F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696f6-74b1-4f30-8462-da8ad83e9c1d" elementFormDefault="qualified">
    <xsd:import namespace="http://schemas.microsoft.com/office/2006/documentManagement/types"/>
    <xsd:import namespace="http://schemas.microsoft.com/office/infopath/2007/PartnerControls"/>
    <xsd:element name="FY" ma:index="8" nillable="true" ma:displayName="FY" ma:format="Dropdown" ma:internalName="FY">
      <xsd:simpleType>
        <xsd:restriction base="dms:Choice">
          <xsd:enumeration value="FY 12-13"/>
          <xsd:enumeration value="FY 13-14"/>
          <xsd:enumeration value="FY 14-1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Y xmlns="e5d696f6-74b1-4f30-8462-da8ad83e9c1d">FY 14-15</FY>
  </documentManagement>
</p:properties>
</file>

<file path=customXml/itemProps1.xml><?xml version="1.0" encoding="utf-8"?>
<ds:datastoreItem xmlns:ds="http://schemas.openxmlformats.org/officeDocument/2006/customXml" ds:itemID="{F0DA70E3-F05C-496A-9DCF-B861E69A59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41742B-9111-49CF-8A8E-28F3ED56DBB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48BDFCF-727A-4FAE-8F45-A72FCCCCDB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696f6-74b1-4f30-8462-da8ad83e9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D1A7A88-F6D5-4933-AC5A-D224AE3444DA}">
  <ds:schemaRefs>
    <ds:schemaRef ds:uri="http://schemas.microsoft.com/office/2006/metadata/properties"/>
    <ds:schemaRef ds:uri="e5d696f6-74b1-4f30-8462-da8ad83e9c1d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SB</vt:lpstr>
      <vt:lpstr>SB!Print_Area</vt:lpstr>
      <vt:lpstr>SB!Print_Titles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Joquin Castellanos</dc:creator>
  <cp:lastModifiedBy>Windows User</cp:lastModifiedBy>
  <cp:lastPrinted>2016-02-02T19:17:12Z</cp:lastPrinted>
  <dcterms:created xsi:type="dcterms:W3CDTF">1999-06-16T15:37:38Z</dcterms:created>
  <dcterms:modified xsi:type="dcterms:W3CDTF">2016-02-02T19:17:16Z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0x010100C219EDF1BBEFEE43994B8A2B22BFFB60</vt:lpwstr>
  </property>
</Properties>
</file>